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AppSense_\Desktop\"/>
    </mc:Choice>
  </mc:AlternateContent>
  <xr:revisionPtr revIDLastSave="0" documentId="13_ncr:1_{0FDB6C04-60E0-4032-A585-D94798A2AF8B}" xr6:coauthVersionLast="46" xr6:coauthVersionMax="46" xr10:uidLastSave="{00000000-0000-0000-0000-000000000000}"/>
  <bookViews>
    <workbookView xWindow="375" yWindow="360" windowWidth="22425" windowHeight="11790" xr2:uid="{D1317681-F9FC-4D99-9458-43D88319BF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17" i="1"/>
  <c r="H28" i="1"/>
  <c r="H31" i="1"/>
  <c r="H36" i="1"/>
  <c r="H42" i="1"/>
  <c r="H46" i="1"/>
  <c r="H49" i="1"/>
  <c r="H52" i="1"/>
  <c r="H57" i="1"/>
  <c r="H60" i="1"/>
  <c r="H64" i="1"/>
  <c r="H71" i="1"/>
  <c r="H73" i="1"/>
  <c r="H77" i="1"/>
  <c r="H84" i="1"/>
  <c r="H86" i="1"/>
  <c r="H103" i="1"/>
  <c r="H104" i="1"/>
  <c r="H114" i="1"/>
  <c r="H119" i="1"/>
  <c r="H121" i="1"/>
  <c r="H122" i="1"/>
  <c r="H123" i="1"/>
  <c r="H124" i="1"/>
  <c r="H127" i="1"/>
  <c r="H128" i="1"/>
  <c r="H131" i="1"/>
  <c r="H133" i="1"/>
  <c r="H134" i="1"/>
  <c r="H135" i="1"/>
  <c r="H141" i="1"/>
  <c r="H142" i="1"/>
  <c r="H144" i="1"/>
  <c r="H145" i="1"/>
  <c r="H147" i="1"/>
  <c r="H152" i="1"/>
  <c r="H161" i="1"/>
  <c r="H162" i="1"/>
  <c r="H163" i="1"/>
  <c r="H166" i="1"/>
  <c r="H167" i="1"/>
  <c r="H168" i="1"/>
  <c r="H171" i="1"/>
  <c r="H179" i="1"/>
  <c r="H180" i="1"/>
  <c r="H181" i="1"/>
  <c r="F5" i="1"/>
  <c r="F17" i="1"/>
  <c r="F28" i="1"/>
  <c r="F31" i="1"/>
  <c r="F36" i="1"/>
  <c r="F42" i="1"/>
  <c r="F46" i="1"/>
  <c r="F49" i="1"/>
  <c r="F52" i="1"/>
  <c r="F57" i="1"/>
  <c r="F60" i="1"/>
  <c r="F64" i="1"/>
  <c r="F71" i="1"/>
  <c r="F73" i="1"/>
  <c r="F77" i="1"/>
  <c r="F84" i="1"/>
  <c r="F86" i="1"/>
  <c r="F103" i="1"/>
  <c r="F104" i="1"/>
  <c r="F114" i="1"/>
  <c r="F119" i="1"/>
  <c r="F121" i="1"/>
  <c r="F122" i="1"/>
  <c r="F123" i="1"/>
  <c r="F124" i="1"/>
  <c r="F127" i="1"/>
  <c r="F128" i="1"/>
  <c r="F131" i="1"/>
  <c r="F133" i="1"/>
  <c r="F134" i="1"/>
  <c r="F135" i="1"/>
  <c r="F141" i="1"/>
  <c r="F147" i="1"/>
  <c r="F152" i="1"/>
  <c r="F161" i="1"/>
  <c r="F162" i="1"/>
  <c r="F163" i="1"/>
  <c r="F166" i="1"/>
  <c r="F167" i="1"/>
  <c r="F168" i="1"/>
  <c r="F171" i="1"/>
  <c r="F179" i="1"/>
  <c r="F180" i="1"/>
  <c r="I184" i="1" l="1"/>
  <c r="M184" i="1" s="1"/>
  <c r="L183" i="1"/>
  <c r="M182" i="1"/>
  <c r="I181" i="1"/>
  <c r="I180" i="1"/>
  <c r="J180" i="1" s="1"/>
  <c r="J179" i="1"/>
  <c r="I178" i="1"/>
  <c r="M178" i="1" s="1"/>
  <c r="I177" i="1"/>
  <c r="L170" i="1"/>
  <c r="M169" i="1"/>
  <c r="I168" i="1"/>
  <c r="M166" i="1"/>
  <c r="I163" i="1"/>
  <c r="L163" i="1" s="1"/>
  <c r="M162" i="1"/>
  <c r="M161" i="1"/>
  <c r="I160" i="1"/>
  <c r="J159" i="1"/>
  <c r="J158" i="1"/>
  <c r="J157" i="1"/>
  <c r="L156" i="1"/>
  <c r="J155" i="1"/>
  <c r="J154" i="1"/>
  <c r="J153" i="1"/>
  <c r="I152" i="1"/>
  <c r="N151" i="1"/>
  <c r="K151" i="1"/>
  <c r="G151" i="1"/>
  <c r="H151" i="1" s="1"/>
  <c r="E151" i="1"/>
  <c r="F151" i="1" s="1"/>
  <c r="J148" i="1"/>
  <c r="J146" i="1"/>
  <c r="I145" i="1"/>
  <c r="J143" i="1"/>
  <c r="J142" i="1"/>
  <c r="J141" i="1"/>
  <c r="I139" i="1"/>
  <c r="I136" i="1"/>
  <c r="J134" i="1"/>
  <c r="L131" i="1"/>
  <c r="I128" i="1"/>
  <c r="I124" i="1"/>
  <c r="L123" i="1"/>
  <c r="I123" i="1"/>
  <c r="J122" i="1"/>
  <c r="J121" i="1"/>
  <c r="J120" i="1"/>
  <c r="K117" i="1"/>
  <c r="K102" i="1" s="1"/>
  <c r="L116" i="1"/>
  <c r="J115" i="1"/>
  <c r="I114" i="1"/>
  <c r="I108" i="1"/>
  <c r="I107" i="1"/>
  <c r="I105" i="1"/>
  <c r="N102" i="1"/>
  <c r="M102" i="1"/>
  <c r="G102" i="1"/>
  <c r="H102" i="1" s="1"/>
  <c r="E102" i="1"/>
  <c r="F102" i="1" s="1"/>
  <c r="N99" i="1"/>
  <c r="N98" i="1"/>
  <c r="I94" i="1"/>
  <c r="I92" i="1"/>
  <c r="I86" i="1" s="1"/>
  <c r="J91" i="1"/>
  <c r="J89" i="1"/>
  <c r="J88" i="1"/>
  <c r="J87" i="1"/>
  <c r="I84" i="1"/>
  <c r="J83" i="1"/>
  <c r="M82" i="1"/>
  <c r="M81" i="1"/>
  <c r="N80" i="1"/>
  <c r="J79" i="1"/>
  <c r="J78" i="1"/>
  <c r="I77" i="1"/>
  <c r="N76" i="1"/>
  <c r="N75" i="1"/>
  <c r="N74" i="1"/>
  <c r="I73" i="1"/>
  <c r="I70" i="1"/>
  <c r="M70" i="1" s="1"/>
  <c r="J69" i="1"/>
  <c r="J68" i="1"/>
  <c r="J67" i="1"/>
  <c r="J66" i="1"/>
  <c r="I65" i="1"/>
  <c r="K65" i="1" s="1"/>
  <c r="K4" i="1" s="1"/>
  <c r="I60" i="1"/>
  <c r="I57" i="1"/>
  <c r="I52" i="1"/>
  <c r="J51" i="1"/>
  <c r="I50" i="1"/>
  <c r="I49" i="1" s="1"/>
  <c r="I46" i="1"/>
  <c r="L45" i="1"/>
  <c r="L4" i="1" s="1"/>
  <c r="N44" i="1"/>
  <c r="I42" i="1"/>
  <c r="I40" i="1"/>
  <c r="I39" i="1"/>
  <c r="I38" i="1"/>
  <c r="J35" i="1"/>
  <c r="J33" i="1"/>
  <c r="J32" i="1"/>
  <c r="I31" i="1"/>
  <c r="J30" i="1"/>
  <c r="M29" i="1"/>
  <c r="I28" i="1"/>
  <c r="J27" i="1"/>
  <c r="N25" i="1"/>
  <c r="J24" i="1"/>
  <c r="M23" i="1"/>
  <c r="N22" i="1"/>
  <c r="I19" i="1"/>
  <c r="I17" i="1" s="1"/>
  <c r="J18" i="1"/>
  <c r="J16" i="1"/>
  <c r="J15" i="1"/>
  <c r="N20" i="1"/>
  <c r="N14" i="1"/>
  <c r="N13" i="1"/>
  <c r="N12" i="1"/>
  <c r="N11" i="1"/>
  <c r="N10" i="1"/>
  <c r="J9" i="1"/>
  <c r="J8" i="1"/>
  <c r="N7" i="1"/>
  <c r="N6" i="1"/>
  <c r="I5" i="1"/>
  <c r="G4" i="1"/>
  <c r="E4" i="1"/>
  <c r="F4" i="1" s="1"/>
  <c r="G185" i="1" l="1"/>
  <c r="H185" i="1" s="1"/>
  <c r="H4" i="1"/>
  <c r="J151" i="1"/>
  <c r="I171" i="1"/>
  <c r="J102" i="1"/>
  <c r="M163" i="1"/>
  <c r="M151" i="1" s="1"/>
  <c r="I36" i="1"/>
  <c r="I135" i="1"/>
  <c r="I104" i="1"/>
  <c r="N4" i="1"/>
  <c r="E185" i="1"/>
  <c r="F185" i="1" s="1"/>
  <c r="L102" i="1"/>
  <c r="L151" i="1"/>
  <c r="I151" i="1"/>
  <c r="M50" i="1"/>
  <c r="M4" i="1" s="1"/>
  <c r="J92" i="1"/>
  <c r="J19" i="1"/>
  <c r="J4" i="1" s="1"/>
  <c r="I64" i="1"/>
  <c r="I4" i="1" s="1"/>
  <c r="I102" i="1" l="1"/>
  <c r="I18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Anita Suijkerbuijk</author>
    <author>Marc Koopmanschap</author>
  </authors>
  <commentList>
    <comment ref="N80" authorId="0" shapeId="0" xr:uid="{5253F834-0A48-4592-8915-2C1D0D468BF7}">
      <text>
        <r>
          <rPr>
            <b/>
            <sz val="9"/>
            <color indexed="81"/>
            <rFont val="Tahoma"/>
            <family val="2"/>
          </rPr>
          <t>Anita Suijkerbuijk:</t>
        </r>
        <r>
          <rPr>
            <sz val="9"/>
            <color indexed="81"/>
            <rFont val="Tahoma"/>
            <family val="2"/>
          </rPr>
          <t xml:space="preserve">
wordt voor een belangrijk deel door de overheid gesteund</t>
        </r>
      </text>
    </comment>
    <comment ref="I147" authorId="1" shapeId="0" xr:uid="{E7C996EC-B249-4D7C-B7DC-45B9221A4A2C}">
      <text>
        <r>
          <rPr>
            <b/>
            <sz val="9"/>
            <color indexed="81"/>
            <rFont val="Tahoma"/>
            <family val="2"/>
          </rPr>
          <t>Marc Koopmanschap:</t>
        </r>
        <r>
          <rPr>
            <sz val="9"/>
            <color indexed="81"/>
            <rFont val="Tahoma"/>
            <family val="2"/>
          </rPr>
          <t xml:space="preserve">
deze post is in 2015 veel hoger, want nu zijn ook de kosten voor aanleg en onderhoud van riolering meegenomen (was niet het geval in 2003 en 2007)</t>
        </r>
      </text>
    </comment>
  </commentList>
</comments>
</file>

<file path=xl/sharedStrings.xml><?xml version="1.0" encoding="utf-8"?>
<sst xmlns="http://schemas.openxmlformats.org/spreadsheetml/2006/main" count="458" uniqueCount="379">
  <si>
    <t xml:space="preserve">Thema </t>
  </si>
  <si>
    <t>Uitgaven 2003 (mln €)</t>
  </si>
  <si>
    <t>Uitgaven 2007  (mln €)</t>
  </si>
  <si>
    <t>Uitgaven 2015 (mln €)</t>
  </si>
  <si>
    <t>wv overheid</t>
  </si>
  <si>
    <t>bedrijven</t>
  </si>
  <si>
    <t>burgers</t>
  </si>
  <si>
    <t>zorgvz</t>
  </si>
  <si>
    <t>partic fonds</t>
  </si>
  <si>
    <t>Bron</t>
  </si>
  <si>
    <t xml:space="preserve">                                                             Gezondheidsbevordering                                             </t>
  </si>
  <si>
    <t>1.1</t>
  </si>
  <si>
    <t>Roken</t>
  </si>
  <si>
    <t>Totaal preventieve campagnes en activiteiten gericht op tabaksontmoediging</t>
  </si>
  <si>
    <t xml:space="preserve">website: tabaknee </t>
  </si>
  <si>
    <t>Stichting Rookpreventie Jeugd, financieel verslag 2016</t>
  </si>
  <si>
    <t>Communicatie gericht op jongeren, een rookvrije horeca, stoptober</t>
  </si>
  <si>
    <t>www.tabaknee.nl, nieuwsbericht</t>
  </si>
  <si>
    <t>Campagne NIX 18</t>
  </si>
  <si>
    <t>Rijksoverheid, jaarevaluatie campagnes 2015</t>
  </si>
  <si>
    <t>Campagne, een rookvrij Nederland, KWF</t>
  </si>
  <si>
    <t>KWF Kankerbestrijding, jaarverslag 2015</t>
  </si>
  <si>
    <t>Campagne niet beginnen met roken, Longfonds</t>
  </si>
  <si>
    <t>Longfonds, financieel jaarverslag 2015</t>
  </si>
  <si>
    <t>Voorlichting algemeen publiek, Longfonds</t>
  </si>
  <si>
    <t xml:space="preserve">Specifieke voorlichting en campagnes longfonds </t>
  </si>
  <si>
    <t xml:space="preserve">Alliantie Nederland Rookvrij </t>
  </si>
  <si>
    <t>Alliantie Rookvrij, jaarverslag 2015</t>
  </si>
  <si>
    <t>Campagne Ikpas</t>
  </si>
  <si>
    <t>Campagne: naar een rookvrije horeca</t>
  </si>
  <si>
    <t>Trimbos activiteiten op het gebied van rookpreventie</t>
  </si>
  <si>
    <t>Ministerie van VWS, begroting 2015</t>
  </si>
  <si>
    <t>1.2</t>
  </si>
  <si>
    <t>Alcoholmisbruik</t>
  </si>
  <si>
    <t>Totaal activiteiten preventie alcoholmisbruik</t>
  </si>
  <si>
    <t>Activiteiten van verslavingsklinieken</t>
  </si>
  <si>
    <t>Survey onder preventiecoördinatoren van verslavingsklinieken</t>
  </si>
  <si>
    <t xml:space="preserve">Campagne NIX 18 </t>
  </si>
  <si>
    <t xml:space="preserve">Campagne BOB </t>
  </si>
  <si>
    <t>STAP, nederlands instituut voor alcoholbeleid</t>
  </si>
  <si>
    <t>STAP, financieel jaarverslag 2015</t>
  </si>
  <si>
    <t>Preventie van afhankelijkheid van alcohol en drugs door gespecialiseerde GGZ</t>
  </si>
  <si>
    <t>Kosten van ziektenstudie 2015</t>
  </si>
  <si>
    <t xml:space="preserve">Mainline en Informatievoorziening Zorg: preventie van verslaving </t>
  </si>
  <si>
    <t>NOC-NSF</t>
  </si>
  <si>
    <t>NOC-NSF, jaarverslag 2015</t>
  </si>
  <si>
    <t>Cursussen sociale hygiëne in de horeca</t>
  </si>
  <si>
    <t>Stichting Vakbekwaamheid Horeca</t>
  </si>
  <si>
    <t>Trimbos activiteiten op het gebied van alcoholpreventie</t>
  </si>
  <si>
    <t>1.3</t>
  </si>
  <si>
    <t>Drugsmisbruik</t>
  </si>
  <si>
    <t>Totaal activiteiten preventie drugsmisbruik</t>
  </si>
  <si>
    <t>Trimbos activiteiten op het gebied van drugspreventie</t>
  </si>
  <si>
    <t>1.4</t>
  </si>
  <si>
    <t>Lichamelijk inactiviteit en sport</t>
  </si>
  <si>
    <t>Totaal activiteiten gericht op bewegen en sport</t>
  </si>
  <si>
    <t>Sportimpuls ZONMW</t>
  </si>
  <si>
    <t>ZONMW, Managementrapportage Sportimpuls en SIKG 2015</t>
  </si>
  <si>
    <t>NOC-NSF: nationale beweegcampagnes</t>
  </si>
  <si>
    <t>NOC NSF, jaarverslag 2015</t>
  </si>
  <si>
    <t>buurtsportcoaches 50%*145 miljoen (opgave Vereniging Sprot en Gemeenten)</t>
  </si>
  <si>
    <t>Kenniscentrum Sport VWS</t>
  </si>
  <si>
    <t xml:space="preserve">Kenniscentrum Sport VWS </t>
  </si>
  <si>
    <t>1.5</t>
  </si>
  <si>
    <t>Gezonde voeding en overgewicht</t>
  </si>
  <si>
    <t>Totaal activiteiten gericht op voorlichting en preventie gezonde voeding</t>
  </si>
  <si>
    <t>Jeugd op Gezond Gewicht (JOGG)</t>
  </si>
  <si>
    <t>JOGG, mondelinge communicatie</t>
  </si>
  <si>
    <t xml:space="preserve">Voedingscentrum 'Goed geïnformeerd' </t>
  </si>
  <si>
    <t>Voedingscentrum, jaarverslag-2015 op website voedingscentrum</t>
  </si>
  <si>
    <t xml:space="preserve">Voedingscentrum 'Gezond door het leven' </t>
  </si>
  <si>
    <t xml:space="preserve">Voedingscentrum 'Voedselkwaliteit en voedselverspilling </t>
  </si>
  <si>
    <t>Preventie in dietistenpraktijken</t>
  </si>
  <si>
    <t>1.6</t>
  </si>
  <si>
    <t>Seksuele gezondheid</t>
  </si>
  <si>
    <t>Totaal activiteiten gericht op voorlichting seksuele gezondheid en condoomgebruik</t>
  </si>
  <si>
    <t>Campagnes tegen seksueel geweld en veilige seks</t>
  </si>
  <si>
    <t>Rutgers Nisso, jaarrekening 2015</t>
  </si>
  <si>
    <t>Activiteiten van SOA AIDS Nederland</t>
  </si>
  <si>
    <t>SOA aids Nederland, jaarverslag 2015</t>
  </si>
  <si>
    <t>Condoomgebruik</t>
  </si>
  <si>
    <t>condoom.anoniem.nl, nieuwsbericht</t>
  </si>
  <si>
    <t>1.7</t>
  </si>
  <si>
    <t>Gebitsverzorging</t>
  </si>
  <si>
    <t>Totaal preventieve activiteiten mondzorg</t>
  </si>
  <si>
    <t>Ivoren Kruis: patiëntenfolder en -adviezen</t>
  </si>
  <si>
    <t>Ivoren Kruis, jaarverslag 2015</t>
  </si>
  <si>
    <t>Ivoren Kruis: (M)ondzorg kwetsbare ouderen</t>
  </si>
  <si>
    <t>1.8</t>
  </si>
  <si>
    <t>Gokverslaving</t>
  </si>
  <si>
    <t xml:space="preserve">Totaal preventieve activiteiten gokverslaving </t>
  </si>
  <si>
    <t>Activiteiten verslavingsklinieken</t>
  </si>
  <si>
    <t>Kansspelautoriteit</t>
  </si>
  <si>
    <t>Kansspelautoriteit, jaarverslag 2015</t>
  </si>
  <si>
    <t>1.9</t>
  </si>
  <si>
    <t>Verkeersveiligheid</t>
  </si>
  <si>
    <t xml:space="preserve">Totaal activiteiten gericht op verkeersveiligheid </t>
  </si>
  <si>
    <t>Consument</t>
  </si>
  <si>
    <t>Centraal Bureau Rijvaardigheid, jaarverslag 2015</t>
  </si>
  <si>
    <t>VVN</t>
  </si>
  <si>
    <t>Veilig Verkeer Nederland, jaarverslag 2015</t>
  </si>
  <si>
    <t>Fietsersbond</t>
  </si>
  <si>
    <t>Fietsersbond,  jaarverslag 2015</t>
  </si>
  <si>
    <t>Team Alert</t>
  </si>
  <si>
    <t xml:space="preserve">Sira Consulting, evaluatie subsidieregeling Team Alert
 </t>
  </si>
  <si>
    <t>1.10</t>
  </si>
  <si>
    <t>Diabetes</t>
  </si>
  <si>
    <t>Totaal activiteiten diabetespreventie</t>
  </si>
  <si>
    <t>Stop de opmars</t>
  </si>
  <si>
    <t>Diabetesfonds, jaarverslag 2015</t>
  </si>
  <si>
    <t>Beter in Beeld</t>
  </si>
  <si>
    <t>1.11</t>
  </si>
  <si>
    <t>Preventie van privéongevallen</t>
  </si>
  <si>
    <t>Totaal activiteiten gericht op preventie van privéongevallen</t>
  </si>
  <si>
    <t>Omgevingsveiligheid</t>
  </si>
  <si>
    <t>Impuls Omgevingsveiligheid 2015 - 2018</t>
  </si>
  <si>
    <t>VeiligheidNL: opgroeien en ouder worden</t>
  </si>
  <si>
    <t>Veiligheid.NL, modelinge communicatie</t>
  </si>
  <si>
    <t>VeiligheidNL: werk en vrije tijd (veilig en gezond gedrag op de werkvloer en veilig sporten)</t>
  </si>
  <si>
    <t>1.12</t>
  </si>
  <si>
    <t>Arbeidsomstandigheden en arbeidsveiligheid</t>
  </si>
  <si>
    <t>Totaal preventieve activiteiten gericht op arbeidsomstandigheden</t>
  </si>
  <si>
    <t>Werkgevers</t>
  </si>
  <si>
    <t>Preventie door ARBOdiensten</t>
  </si>
  <si>
    <t>Kosten van ziektenstudie, ministerie van SZW</t>
  </si>
  <si>
    <t xml:space="preserve">Programma Zelfregulering Gezond en Veilig Werken </t>
  </si>
  <si>
    <t>Ministerie van SZW, jaarverslag 2015</t>
  </si>
  <si>
    <t>Duurzame Inzetbaarheid (waaronder Actieplan Gezond Bedrijf en Aanpak Psychosociale Arbeidsbelasting)</t>
  </si>
  <si>
    <t>Programma gezond en veilig werken RIVM</t>
  </si>
  <si>
    <t>Arboportaal</t>
  </si>
  <si>
    <t>Preventieve activiteiten door middel van collectiviteitsafspraken via zorgverzekeraars</t>
  </si>
  <si>
    <t>Een grote zorgverzekeraar, data geëxtrapoleerd naar Nederland</t>
  </si>
  <si>
    <t>1.13</t>
  </si>
  <si>
    <t>Preventie van sportblessures</t>
  </si>
  <si>
    <t xml:space="preserve">Keuringen en adviezen door sportmedische adviescentra </t>
  </si>
  <si>
    <t>1.14</t>
  </si>
  <si>
    <t>Kankerpreventie</t>
  </si>
  <si>
    <t>Totaal voorlichtingsactiviteiten</t>
  </si>
  <si>
    <t>Voorlichting KWF (anders dan Nederland rookvrij)</t>
  </si>
  <si>
    <t>KWF Kankerbestrijding jaarverslag 2015</t>
  </si>
  <si>
    <t>Activiteiten Wereldkanker Onderzoeksfonds</t>
  </si>
  <si>
    <t>Wereldkanker Onderzoeksfonds, jaarverslag 2015</t>
  </si>
  <si>
    <t>Activiteiten Stichting Nationaal Fonds tegen Kanker</t>
  </si>
  <si>
    <t>Stichting Nationaal Fonds tegen Kanker, jaarrekening 2015</t>
  </si>
  <si>
    <t>1.15</t>
  </si>
  <si>
    <t>Psychische aandoeningen</t>
  </si>
  <si>
    <t>Totaal preventie psychische aandoeningen</t>
  </si>
  <si>
    <t>Campagne pesten op het werk</t>
  </si>
  <si>
    <t>Campagne week van de werkstress</t>
  </si>
  <si>
    <t>Stichting 113Online</t>
  </si>
  <si>
    <t>113 Zelfmoordpreventie, financiële verantwoording 2015</t>
  </si>
  <si>
    <t>Preventieve ouderenzorg, dementie</t>
  </si>
  <si>
    <t xml:space="preserve">Preventie door ziekenhuizen en specialistische zorg  </t>
  </si>
  <si>
    <t>Activiteiten Trimbos instituut</t>
  </si>
  <si>
    <t>Trimbos Instituut, jaarrekening 2015</t>
  </si>
  <si>
    <t>1.16</t>
  </si>
  <si>
    <t>Brandpreventie</t>
  </si>
  <si>
    <t>Totaal brandpreventie</t>
  </si>
  <si>
    <t>Nederlandse Brandwondenstichting</t>
  </si>
  <si>
    <t>Nederlandse Brandwonden Stichting, jaarverslag 2015</t>
  </si>
  <si>
    <t>1.17</t>
  </si>
  <si>
    <t>Algemene gezondheid (niet nader gespecificeerd)</t>
  </si>
  <si>
    <t xml:space="preserve">Totaal algemene gezondheidsvoorlichting en gezondheidsbevordering </t>
  </si>
  <si>
    <t>Preventieve activiteiten door GGD'en</t>
  </si>
  <si>
    <t>Kosten van ziektenstudie en survey onder GGD'en</t>
  </si>
  <si>
    <t>Publieke gezondheid asielzoekers</t>
  </si>
  <si>
    <t>Nationaal Programma Preventie</t>
  </si>
  <si>
    <t>Jantje Beton: gezonde schoolpleinen en speelbuurten</t>
  </si>
  <si>
    <t>Jantje Beton, jaarrekening 2015</t>
  </si>
  <si>
    <t>Programma Gezonde School</t>
  </si>
  <si>
    <t>Centrum Gezond Leven, RIVM, mondelinge communicatie</t>
  </si>
  <si>
    <t>ZONMW preventieprogramma: implementatie</t>
  </si>
  <si>
    <t>Schriftelijke communicatie ZonMw</t>
  </si>
  <si>
    <t>Programma Gezonde Kinderopvang</t>
  </si>
  <si>
    <t>Ministerie van VWS, beleidsdocumenten</t>
  </si>
  <si>
    <t>1.18</t>
  </si>
  <si>
    <t>Terugdringen gezondheidsverschillen</t>
  </si>
  <si>
    <t>Totaal preventieve activiteiten gericht op terugdringen gezondheidsverschillen</t>
  </si>
  <si>
    <t>Gezondin: activiteiten van GIDS gemeenten in wijken met lage SES</t>
  </si>
  <si>
    <t>Ondersteuning van gemeenten bij het project Gezondin</t>
  </si>
  <si>
    <t>1.19</t>
  </si>
  <si>
    <t>Preventie van hart en vaatziekten</t>
  </si>
  <si>
    <t>Totaal preventie van hart- en vaatziekten</t>
  </si>
  <si>
    <t>Hartstichting, jaarverslag 2015</t>
  </si>
  <si>
    <t>1.20</t>
  </si>
  <si>
    <t>Preventie van huidkanker</t>
  </si>
  <si>
    <t>Totaal preventie van huidkanker</t>
  </si>
  <si>
    <t xml:space="preserve">KWF Kankerbestrijding, jaarverslag 2015 </t>
  </si>
  <si>
    <t>1.21</t>
  </si>
  <si>
    <t>Maag, lever en darmaandoeningen</t>
  </si>
  <si>
    <t>Totaal preventieve voorlichting maag-, lever- en darmaandoeningen</t>
  </si>
  <si>
    <t>Maag Lever Darm Stichting, jaarverslag 2015</t>
  </si>
  <si>
    <t xml:space="preserve">                                                                                                    </t>
  </si>
  <si>
    <t xml:space="preserve">Gezondheidsbescherming </t>
  </si>
  <si>
    <t>2.1</t>
  </si>
  <si>
    <t>Inspecties door Arbeidsinspectie</t>
  </si>
  <si>
    <t>2.2</t>
  </si>
  <si>
    <t>Geluidshinder</t>
  </si>
  <si>
    <t>Totaal voorkomen van geluidshinder, geluidssanering</t>
  </si>
  <si>
    <t xml:space="preserve">Lichte bedrijfsvoertuigen </t>
  </si>
  <si>
    <t>CBS statline</t>
  </si>
  <si>
    <t xml:space="preserve">Zware bedrijfsvoertuigen </t>
  </si>
  <si>
    <t xml:space="preserve">Motorfietsen </t>
  </si>
  <si>
    <t>Luchtvaart</t>
  </si>
  <si>
    <t xml:space="preserve">Personenauto's </t>
  </si>
  <si>
    <t xml:space="preserve">Railverkeer </t>
  </si>
  <si>
    <t xml:space="preserve">Overheidspreventie geluidhinder wegverkeer </t>
  </si>
  <si>
    <t xml:space="preserve">Overheidspreventie geluidhinder railverkeer </t>
  </si>
  <si>
    <t xml:space="preserve">Overheidspreventie geluidhinder luchtverkeer  </t>
  </si>
  <si>
    <t>2.3</t>
  </si>
  <si>
    <t>Luchtkwaliteit</t>
  </si>
  <si>
    <t>Totaal activiteiten gericht op verbetering luchtkwaliteit</t>
  </si>
  <si>
    <t>Meten en monitoren (oa RIVM)</t>
  </si>
  <si>
    <t>RIVM, monitor rapport, Rob Maas, mondelinge communicatie</t>
  </si>
  <si>
    <t>Investeringen in verkeer (katalysatoren, koolstoffilters ed)</t>
  </si>
  <si>
    <t>CBS milieukosten van verkeer</t>
  </si>
  <si>
    <t>Investeringen door bedrijven  (bijv afvalgassen zuiveren/voorkomen)</t>
  </si>
  <si>
    <t>CBS milieukosten van bedrijven</t>
  </si>
  <si>
    <t>Instellen van milieuzones verkeer (2015 alleen in Utrecht)</t>
  </si>
  <si>
    <t>Milieuzone Utrecht, zie document uitgaven milieuzone Utrecht</t>
  </si>
  <si>
    <t>2.4</t>
  </si>
  <si>
    <t xml:space="preserve">Totaal brandpreventieactiviteiten </t>
  </si>
  <si>
    <t>Veiligheidsregio's, jaarverslagen 2015</t>
  </si>
  <si>
    <t>2.5</t>
  </si>
  <si>
    <t>Voorbereiding op hulpverlening bij ongevallen en rampen</t>
  </si>
  <si>
    <t>Activiteiten GHOR, vaak onderdeel van GGD'en</t>
  </si>
  <si>
    <t>2.6</t>
  </si>
  <si>
    <t>Productveiligheid</t>
  </si>
  <si>
    <t>Inspecties productveiligheid door VROM en NVWA</t>
  </si>
  <si>
    <t>NVWA, mondelinge communicatie</t>
  </si>
  <si>
    <t>2.7</t>
  </si>
  <si>
    <t>Voedselveiligheid</t>
  </si>
  <si>
    <t>Activiteiten gericht op voedselveiligheid door NVWA</t>
  </si>
  <si>
    <t>2.8</t>
  </si>
  <si>
    <t>Drinkwaterkwaliteit</t>
  </si>
  <si>
    <t>Inspecties door VROM, drinkwatervoorziening</t>
  </si>
  <si>
    <t>VEWIN, jaarverslag 2015, Inspectie Leefomgeving en Transport, Kerngegevens drinkwater 2016</t>
  </si>
  <si>
    <t>2.9</t>
  </si>
  <si>
    <t>Zwemwaterkwaliteit</t>
  </si>
  <si>
    <t>Totaal controles zwemwaterkwaliteit</t>
  </si>
  <si>
    <t>KNZB zwembaden</t>
  </si>
  <si>
    <t>Rijkswaterstaat, schriftelijke communicatie</t>
  </si>
  <si>
    <t>Open zwemwater</t>
  </si>
  <si>
    <t>Waterschappen, schriftelijke communicatie</t>
  </si>
  <si>
    <t>2.10</t>
  </si>
  <si>
    <t>Woningkwaliteit</t>
  </si>
  <si>
    <t>Inspecties woningkwaliteit door VROM</t>
  </si>
  <si>
    <t>2.11</t>
  </si>
  <si>
    <t>Totaal activiteiten gericht op verkeersveiligheid: voertuigveiligheid, handhaving en infrastructuur</t>
  </si>
  <si>
    <t>Rijk, provincies, gemeenten</t>
  </si>
  <si>
    <t>Infrastructuurfonds, jaarverslag 2015 Jaarverslag Nationale politie 2015</t>
  </si>
  <si>
    <t>Politie: handhaving RDW: keuringen</t>
  </si>
  <si>
    <t>IBO verkeershandhaving Ministerie van Financiën, jaarrapportage 2015, Dienst Wegverkeer (RDW), schriftelijke communicatie</t>
  </si>
  <si>
    <t>Medische keuringen rijvaardigheid</t>
  </si>
  <si>
    <t>Rijbewijskeuringen huisarts</t>
  </si>
  <si>
    <t>Consument: helmgebruik, kinderzitjes</t>
  </si>
  <si>
    <t>BOVAG, jaarverslag 2015, CBS statline, CBR jaarverslag 2015, APK jaarverslag 2015</t>
  </si>
  <si>
    <t>2.12</t>
  </si>
  <si>
    <t>Geweld</t>
  </si>
  <si>
    <t>Totaal criminaliteitspreventie (excl. terrorismebestrijding)</t>
  </si>
  <si>
    <t xml:space="preserve">Centrum voor Criminaliteitspreventie en Veiligheid, nieuwsbericht.  Ministerie van Veiligheid en Justitie, jaarrekening 2015 </t>
  </si>
  <si>
    <t>2.13</t>
  </si>
  <si>
    <t>Totaal inspecties rookverboden door VWA</t>
  </si>
  <si>
    <t>2.14</t>
  </si>
  <si>
    <t>Milieuveiligheid</t>
  </si>
  <si>
    <t>Totaal milieuinspecties en verspreiding gevaarlijke stoffen</t>
  </si>
  <si>
    <t>Bodemsanering</t>
  </si>
  <si>
    <t>Convenant bodem en ondergrond 2016-2020</t>
  </si>
  <si>
    <t>Asbestsanering</t>
  </si>
  <si>
    <t>RVO: uitgaven 2016 obv subsidieregeling verwijdering asbestdaken.</t>
  </si>
  <si>
    <t>Toezicht vervoer gevaarlijke stoffen</t>
  </si>
  <si>
    <t>ILT raming, communicatie via de mail</t>
  </si>
  <si>
    <t xml:space="preserve">REACH monitoring industriele chemicalien </t>
  </si>
  <si>
    <t>Communicatie RIVM (Rob Jongeneel); Ministerie van Economische Zaken 2004, Gevolgen en administratieve lasten van REACH* voor het Nederlandse bedrijfsleven</t>
  </si>
  <si>
    <t>Cosmetica-veiligheid</t>
  </si>
  <si>
    <t>Communicatie RIVM (Gerlienke Schuur)</t>
  </si>
  <si>
    <t>2.15</t>
  </si>
  <si>
    <t>Afval</t>
  </si>
  <si>
    <t>Huishoudelijk afvalbeheer, inspecties door VROM</t>
  </si>
  <si>
    <t xml:space="preserve">Benchmark Huishoudelijk afval 2015 </t>
  </si>
  <si>
    <t>2.16</t>
  </si>
  <si>
    <t>Hygiëne</t>
  </si>
  <si>
    <t xml:space="preserve">Inspecties GGD’en van kinderopvangvoorzieningen, seks- en relaxhuizen, tattoo shops en sauna’s </t>
  </si>
  <si>
    <t>2.17</t>
  </si>
  <si>
    <t>Medische milieukunde</t>
  </si>
  <si>
    <t xml:space="preserve">Preventieve activiteiten door GGD'en </t>
  </si>
  <si>
    <t>2.18</t>
  </si>
  <si>
    <t>Inspecties door VWA</t>
  </si>
  <si>
    <t>Werd niet meer gedaan door NVWA in 2015</t>
  </si>
  <si>
    <t>2.19</t>
  </si>
  <si>
    <t>Totaal handhaving alcoholmisbruik</t>
  </si>
  <si>
    <t>Handhaving DHW door gemeenten</t>
  </si>
  <si>
    <t>Centrum voor Criminaliteitspreventie en Veiligheid, factsheet</t>
  </si>
  <si>
    <t>2.20</t>
  </si>
  <si>
    <t>Riolering</t>
  </si>
  <si>
    <t>Inzameling afvalwater, riolering en rioolwaterzuivering</t>
  </si>
  <si>
    <t xml:space="preserve">CBS statline kosten en financiering milieubeheer, compartiment water; Unie van waterschappen. </t>
  </si>
  <si>
    <t>2.21</t>
  </si>
  <si>
    <t>Openbare GGZ</t>
  </si>
  <si>
    <t>Openbare GGZ (bemoeizorg)</t>
  </si>
  <si>
    <t xml:space="preserve">                                                                                                                  </t>
  </si>
  <si>
    <t xml:space="preserve"> Ziektepreventie  </t>
  </si>
  <si>
    <t>3.1</t>
  </si>
  <si>
    <t>Infectieziekten</t>
  </si>
  <si>
    <t>Totaal infectieziektepreventie: vaccinaties tegen en screening op infectieziekten</t>
  </si>
  <si>
    <t>Rijksvaccinatieprogramma</t>
  </si>
  <si>
    <t>Griepvaccinatie</t>
  </si>
  <si>
    <t>SOA preventie door GGD'en</t>
  </si>
  <si>
    <t>Reizigersvaccinaties door huisartsen</t>
  </si>
  <si>
    <t>Reizigersvaccinaties door GGD'en</t>
  </si>
  <si>
    <t>Tuberculosescreening</t>
  </si>
  <si>
    <t>Infectieziektebestrijding door GGD'en</t>
  </si>
  <si>
    <t>Preventie van Q-koorts</t>
  </si>
  <si>
    <t>NVWA,mondelinge communicatie en SEO rapportage Q-koorts</t>
  </si>
  <si>
    <t>3.2</t>
  </si>
  <si>
    <t>Cholesterol</t>
  </si>
  <si>
    <t>Cholesterolverlagers en screening op familiaire hypercholesterolemie</t>
  </si>
  <si>
    <t>3.3</t>
  </si>
  <si>
    <t>Hypertensie</t>
  </si>
  <si>
    <t>Bloeddrukverlagers</t>
  </si>
  <si>
    <t>3.4</t>
  </si>
  <si>
    <t>Gebitsverzorging en gebitscontroles</t>
  </si>
  <si>
    <t>Gebitsverzorgende middelen, preventieve gebitscontroles en tandsteenverwijdering</t>
  </si>
  <si>
    <t>Tandartsen</t>
  </si>
  <si>
    <t>Zorgrekeningen CBS</t>
  </si>
  <si>
    <t>Mondhyhienisten</t>
  </si>
  <si>
    <t>3.5</t>
  </si>
  <si>
    <t>Botontkalking</t>
  </si>
  <si>
    <t>Bisfosfonaten, vitaminen D en calcium</t>
  </si>
  <si>
    <t>GIP-databank (www.gipdatabank.nl)</t>
  </si>
  <si>
    <t>3.6</t>
  </si>
  <si>
    <t>Zwangerschappen &lt;21 jaar</t>
  </si>
  <si>
    <t>Anticonceptiepil meisjes tot 21 jaar</t>
  </si>
  <si>
    <t>3.7</t>
  </si>
  <si>
    <t>Totaal ondersteuning stoppen met roken</t>
  </si>
  <si>
    <t>Uitgaven voor stoppen met roken ondersteuning in het basispakket</t>
  </si>
  <si>
    <t>Rekenkamer rapportage</t>
  </si>
  <si>
    <t>Receptgeneesmiddelen voor stoppen met roken buiten het basispakket</t>
  </si>
  <si>
    <t xml:space="preserve"> SFK, bericht Farmaceutisch Weekblad</t>
  </si>
  <si>
    <t>3.8</t>
  </si>
  <si>
    <t>Aangeboren afwijkingen, perinatale aandoeningen, en zwangerschaps-complicaties</t>
  </si>
  <si>
    <t>Totaal bevolkingsonderzoeken zwangerschapsbegeleiding en foliumzuur</t>
  </si>
  <si>
    <t>Hielprikscreening</t>
  </si>
  <si>
    <t xml:space="preserve">Hielprik (exclusief diagnostiek): Monitor 2015 </t>
  </si>
  <si>
    <t>Foliumzuur</t>
  </si>
  <si>
    <t>GIP databank</t>
  </si>
  <si>
    <t>Nepropharma, mondelinge communicatie</t>
  </si>
  <si>
    <t>PSIE</t>
  </si>
  <si>
    <t>Centrum voor Bevolkingsonderzoek, RIVM, mondelinge communicatie</t>
  </si>
  <si>
    <t>SEO (Structueel Echo Onderzoek)</t>
  </si>
  <si>
    <t>CBS, mondelinge communicatie</t>
  </si>
  <si>
    <t>zwangerschapsbegeleiding</t>
  </si>
  <si>
    <t>Schatting van de deelnamebereidheid aan zwangerschapsbegeleiding</t>
  </si>
  <si>
    <t>activiteiten verloskundigen</t>
  </si>
  <si>
    <t>KNOV, schriftelijke communicatie en jaarrekening VWS</t>
  </si>
  <si>
    <t>3.9</t>
  </si>
  <si>
    <t>Screening Jeugdgezondheidszorg</t>
  </si>
  <si>
    <t>Totaal screeningen jeugdgezondheidszorgscreeningen</t>
  </si>
  <si>
    <t>3.10</t>
  </si>
  <si>
    <t>Kanker</t>
  </si>
  <si>
    <t>Bevolkingsonderzoeken borst-, baarmoederhals- en dikke darmkanker</t>
  </si>
  <si>
    <t>3.11</t>
  </si>
  <si>
    <t>Vitamines</t>
  </si>
  <si>
    <t>Totaal vitamines</t>
  </si>
  <si>
    <t>Vitamines vergoed door zorgverzekering</t>
  </si>
  <si>
    <t>Vitamines/mineralen-supplementen via drogisterijen etc.</t>
  </si>
  <si>
    <t>3.12</t>
  </si>
  <si>
    <t>Psychische stoornissen</t>
  </si>
  <si>
    <t>Preventie door de huisarts (POH)</t>
  </si>
  <si>
    <t>Nivel</t>
  </si>
  <si>
    <t>Totaal</t>
  </si>
  <si>
    <t xml:space="preserve"> </t>
  </si>
  <si>
    <r>
      <t xml:space="preserve">Website sickofsmoking (uitgaven voor </t>
    </r>
    <r>
      <rPr>
        <b/>
        <sz val="12"/>
        <color theme="1"/>
        <rFont val="Arial"/>
        <family val="2"/>
      </rPr>
      <t>2016)</t>
    </r>
    <r>
      <rPr>
        <sz val="12"/>
        <color theme="1"/>
        <rFont val="Arial"/>
        <family val="2"/>
      </rPr>
      <t xml:space="preserve"> </t>
    </r>
  </si>
  <si>
    <t xml:space="preserve"> Uitgaven preventie naar preventiemethode en thema (in miljoen euro’s).</t>
  </si>
  <si>
    <t>Buurtsportcoaches</t>
  </si>
  <si>
    <t>Prijsindexcijfer naar € 2015</t>
  </si>
  <si>
    <t>mr.dr. Bovens, Tilburg University, mondelinge communicatie</t>
  </si>
  <si>
    <t>Uitgaven 2003 in Euro 2015</t>
  </si>
  <si>
    <t>Uitgaven 2007 in Euro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</si>
</sst>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u/>
      <sz val="10"/>
      <color theme="10"/>
      <name val="Times New Roman"/>
      <family val="2"/>
    </font>
    <font>
      <sz val="12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1"/>
      </bottom>
      <diagonal/>
    </border>
    <border>
      <left style="thin">
        <color theme="2"/>
      </left>
      <right style="thin">
        <color theme="2"/>
      </right>
      <top style="thin">
        <color theme="1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" fillId="3" borderId="0" xfId="0" applyFont="1" applyFill="1"/>
    <xf numFmtId="164" fontId="1" fillId="3" borderId="0" xfId="0" applyNumberFormat="1" applyFont="1" applyFill="1"/>
    <xf numFmtId="164" fontId="1" fillId="4" borderId="0" xfId="0" applyNumberFormat="1" applyFont="1" applyFill="1"/>
    <xf numFmtId="0" fontId="2" fillId="3" borderId="0" xfId="0" applyFont="1" applyFill="1"/>
    <xf numFmtId="164" fontId="1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Fill="1" applyAlignment="1">
      <alignment horizontal="center" vertical="center"/>
    </xf>
    <xf numFmtId="0" fontId="3" fillId="0" borderId="1" xfId="0" applyFont="1" applyBorder="1"/>
    <xf numFmtId="0" fontId="2" fillId="0" borderId="2" xfId="0" applyFont="1" applyBorder="1"/>
    <xf numFmtId="164" fontId="1" fillId="4" borderId="2" xfId="0" applyNumberFormat="1" applyFont="1" applyFill="1" applyBorder="1"/>
    <xf numFmtId="164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/>
    <xf numFmtId="0" fontId="4" fillId="0" borderId="1" xfId="0" applyFont="1" applyBorder="1"/>
    <xf numFmtId="164" fontId="3" fillId="0" borderId="1" xfId="0" applyNumberFormat="1" applyFont="1" applyBorder="1"/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1" xfId="0" applyFont="1" applyFill="1" applyBorder="1"/>
    <xf numFmtId="164" fontId="1" fillId="4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1" xfId="0" applyNumberFormat="1" applyFont="1" applyFill="1" applyBorder="1"/>
    <xf numFmtId="164" fontId="2" fillId="4" borderId="0" xfId="0" applyNumberFormat="1" applyFont="1" applyFill="1"/>
    <xf numFmtId="2" fontId="2" fillId="0" borderId="0" xfId="0" applyNumberFormat="1" applyFont="1" applyFill="1"/>
    <xf numFmtId="2" fontId="2" fillId="0" borderId="1" xfId="0" applyNumberFormat="1" applyFont="1" applyFill="1" applyBorder="1"/>
    <xf numFmtId="0" fontId="2" fillId="0" borderId="1" xfId="0" applyFont="1" applyBorder="1" applyAlignment="1"/>
    <xf numFmtId="0" fontId="2" fillId="0" borderId="0" xfId="0" applyFont="1" applyFill="1"/>
    <xf numFmtId="0" fontId="2" fillId="0" borderId="2" xfId="0" applyFont="1" applyFill="1" applyBorder="1"/>
    <xf numFmtId="164" fontId="2" fillId="4" borderId="2" xfId="0" applyNumberFormat="1" applyFont="1" applyFill="1" applyBorder="1"/>
    <xf numFmtId="164" fontId="2" fillId="5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Fill="1" applyBorder="1"/>
    <xf numFmtId="164" fontId="2" fillId="5" borderId="1" xfId="0" applyNumberFormat="1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/>
    <xf numFmtId="164" fontId="3" fillId="4" borderId="0" xfId="1" applyNumberFormat="1" applyFont="1" applyFill="1"/>
    <xf numFmtId="164" fontId="3" fillId="0" borderId="0" xfId="1" applyNumberFormat="1" applyFont="1" applyFill="1"/>
    <xf numFmtId="164" fontId="3" fillId="0" borderId="0" xfId="1" applyNumberFormat="1" applyFont="1"/>
    <xf numFmtId="164" fontId="4" fillId="0" borderId="0" xfId="0" applyNumberFormat="1" applyFont="1" applyFill="1" applyAlignment="1">
      <alignment horizontal="center" vertical="center"/>
    </xf>
    <xf numFmtId="164" fontId="3" fillId="0" borderId="0" xfId="1" applyNumberFormat="1" applyFont="1" applyBorder="1"/>
    <xf numFmtId="164" fontId="3" fillId="0" borderId="1" xfId="1" applyNumberFormat="1" applyFont="1" applyBorder="1"/>
    <xf numFmtId="164" fontId="3" fillId="4" borderId="0" xfId="1" applyNumberFormat="1" applyFont="1" applyFill="1" applyBorder="1"/>
    <xf numFmtId="0" fontId="2" fillId="0" borderId="3" xfId="0" applyFont="1" applyBorder="1"/>
    <xf numFmtId="164" fontId="3" fillId="4" borderId="3" xfId="1" applyNumberFormat="1" applyFont="1" applyFill="1" applyBorder="1"/>
    <xf numFmtId="164" fontId="2" fillId="0" borderId="3" xfId="0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/>
    <xf numFmtId="164" fontId="2" fillId="4" borderId="3" xfId="0" applyNumberFormat="1" applyFont="1" applyFill="1" applyBorder="1"/>
    <xf numFmtId="165" fontId="1" fillId="3" borderId="0" xfId="0" applyNumberFormat="1" applyFont="1" applyFill="1"/>
    <xf numFmtId="164" fontId="1" fillId="0" borderId="0" xfId="0" applyNumberFormat="1" applyFont="1" applyFill="1"/>
    <xf numFmtId="164" fontId="2" fillId="4" borderId="1" xfId="0" applyNumberFormat="1" applyFont="1" applyFill="1" applyBorder="1"/>
    <xf numFmtId="3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1" xfId="0" applyNumberFormat="1" applyFont="1" applyBorder="1"/>
    <xf numFmtId="0" fontId="3" fillId="0" borderId="1" xfId="2" applyFont="1" applyBorder="1"/>
    <xf numFmtId="0" fontId="3" fillId="5" borderId="3" xfId="0" applyFont="1" applyFill="1" applyBorder="1"/>
    <xf numFmtId="0" fontId="3" fillId="0" borderId="3" xfId="0" applyFont="1" applyBorder="1"/>
    <xf numFmtId="164" fontId="3" fillId="4" borderId="3" xfId="0" applyNumberFormat="1" applyFont="1" applyFill="1" applyBorder="1"/>
    <xf numFmtId="164" fontId="3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/>
    <xf numFmtId="164" fontId="2" fillId="0" borderId="3" xfId="0" applyNumberFormat="1" applyFont="1" applyFill="1" applyBorder="1"/>
    <xf numFmtId="164" fontId="2" fillId="4" borderId="0" xfId="0" applyNumberFormat="1" applyFont="1" applyFill="1" applyBorder="1"/>
    <xf numFmtId="164" fontId="2" fillId="0" borderId="0" xfId="0" applyNumberFormat="1" applyFont="1" applyFill="1"/>
    <xf numFmtId="164" fontId="2" fillId="5" borderId="0" xfId="0" applyNumberFormat="1" applyFont="1" applyFill="1" applyBorder="1"/>
    <xf numFmtId="0" fontId="3" fillId="0" borderId="0" xfId="0" applyFont="1" applyFill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0" fontId="8" fillId="0" borderId="2" xfId="0" applyFont="1" applyBorder="1"/>
    <xf numFmtId="164" fontId="2" fillId="5" borderId="0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/>
    <xf numFmtId="0" fontId="4" fillId="0" borderId="3" xfId="0" applyFont="1" applyBorder="1"/>
    <xf numFmtId="0" fontId="4" fillId="0" borderId="0" xfId="0" applyFont="1" applyFill="1"/>
    <xf numFmtId="164" fontId="3" fillId="0" borderId="1" xfId="0" applyNumberFormat="1" applyFont="1" applyFill="1" applyBorder="1"/>
    <xf numFmtId="164" fontId="2" fillId="5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165" fontId="1" fillId="4" borderId="0" xfId="0" applyNumberFormat="1" applyFont="1" applyFill="1"/>
    <xf numFmtId="2" fontId="2" fillId="5" borderId="4" xfId="0" applyNumberFormat="1" applyFont="1" applyFill="1" applyBorder="1"/>
    <xf numFmtId="2" fontId="0" fillId="5" borderId="4" xfId="0" applyNumberFormat="1" applyFont="1" applyFill="1" applyBorder="1"/>
    <xf numFmtId="2" fontId="1" fillId="3" borderId="4" xfId="0" applyNumberFormat="1" applyFont="1" applyFill="1" applyBorder="1"/>
    <xf numFmtId="2" fontId="2" fillId="5" borderId="5" xfId="0" applyNumberFormat="1" applyFont="1" applyFill="1" applyBorder="1"/>
    <xf numFmtId="2" fontId="0" fillId="5" borderId="5" xfId="0" applyNumberFormat="1" applyFont="1" applyFill="1" applyBorder="1"/>
    <xf numFmtId="2" fontId="1" fillId="3" borderId="5" xfId="0" applyNumberFormat="1" applyFont="1" applyFill="1" applyBorder="1"/>
    <xf numFmtId="2" fontId="2" fillId="5" borderId="6" xfId="0" applyNumberFormat="1" applyFont="1" applyFill="1" applyBorder="1"/>
    <xf numFmtId="2" fontId="2" fillId="5" borderId="7" xfId="0" applyNumberFormat="1" applyFont="1" applyFill="1" applyBorder="1"/>
    <xf numFmtId="2" fontId="2" fillId="5" borderId="8" xfId="0" applyNumberFormat="1" applyFont="1" applyFill="1" applyBorder="1"/>
    <xf numFmtId="2" fontId="2" fillId="5" borderId="9" xfId="0" applyNumberFormat="1" applyFont="1" applyFill="1" applyBorder="1"/>
    <xf numFmtId="2" fontId="2" fillId="5" borderId="10" xfId="0" applyNumberFormat="1" applyFont="1" applyFill="1" applyBorder="1"/>
    <xf numFmtId="2" fontId="2" fillId="5" borderId="11" xfId="0" applyNumberFormat="1" applyFont="1" applyFill="1" applyBorder="1"/>
    <xf numFmtId="2" fontId="2" fillId="5" borderId="12" xfId="0" applyNumberFormat="1" applyFont="1" applyFill="1" applyBorder="1"/>
    <xf numFmtId="2" fontId="2" fillId="5" borderId="13" xfId="0" applyNumberFormat="1" applyFont="1" applyFill="1" applyBorder="1"/>
    <xf numFmtId="2" fontId="2" fillId="5" borderId="14" xfId="0" applyNumberFormat="1" applyFont="1" applyFill="1" applyBorder="1"/>
    <xf numFmtId="2" fontId="2" fillId="5" borderId="15" xfId="0" applyNumberFormat="1" applyFont="1" applyFill="1" applyBorder="1"/>
    <xf numFmtId="2" fontId="2" fillId="5" borderId="16" xfId="0" applyNumberFormat="1" applyFont="1" applyFill="1" applyBorder="1"/>
    <xf numFmtId="2" fontId="2" fillId="5" borderId="17" xfId="0" applyNumberFormat="1" applyFont="1" applyFill="1" applyBorder="1"/>
    <xf numFmtId="2" fontId="2" fillId="5" borderId="18" xfId="0" applyNumberFormat="1" applyFont="1" applyFill="1" applyBorder="1"/>
    <xf numFmtId="2" fontId="1" fillId="4" borderId="5" xfId="0" applyNumberFormat="1" applyFont="1" applyFill="1" applyBorder="1"/>
    <xf numFmtId="2" fontId="1" fillId="4" borderId="4" xfId="0" applyNumberFormat="1" applyFont="1" applyFill="1" applyBorder="1"/>
    <xf numFmtId="0" fontId="2" fillId="0" borderId="0" xfId="0" applyFont="1" applyAlignment="1">
      <alignment horizontal="center"/>
    </xf>
    <xf numFmtId="0" fontId="1" fillId="6" borderId="0" xfId="0" applyFont="1" applyFill="1"/>
    <xf numFmtId="2" fontId="1" fillId="6" borderId="5" xfId="0" applyNumberFormat="1" applyFont="1" applyFill="1" applyBorder="1"/>
    <xf numFmtId="2" fontId="1" fillId="6" borderId="4" xfId="0" applyNumberFormat="1" applyFont="1" applyFill="1" applyBorder="1"/>
    <xf numFmtId="164" fontId="1" fillId="6" borderId="0" xfId="0" applyNumberFormat="1" applyFont="1" applyFill="1"/>
  </cellXfs>
  <cellStyles count="3">
    <cellStyle name="Hyperlink" xfId="2" builtinId="8"/>
    <cellStyle name="Normal" xfId="0" builtinId="0"/>
    <cellStyle name="Normal 2" xfId="1" xr:uid="{1E5ABE31-99F1-4B39-994E-F6A3DE4B0E8D}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C48E1-759E-4799-9E4D-4E29F6562D40}">
  <dimension ref="A1:AB186"/>
  <sheetViews>
    <sheetView tabSelected="1" zoomScaleNormal="100" workbookViewId="0">
      <selection activeCell="C11" sqref="C11"/>
    </sheetView>
  </sheetViews>
  <sheetFormatPr defaultRowHeight="15" x14ac:dyDescent="0.25"/>
  <cols>
    <col min="2" max="2" width="34" customWidth="1"/>
    <col min="4" max="4" width="54.140625" customWidth="1"/>
    <col min="5" max="5" width="27.7109375" customWidth="1"/>
    <col min="6" max="6" width="31.5703125" style="98" customWidth="1"/>
    <col min="7" max="7" width="27.42578125" customWidth="1"/>
    <col min="8" max="8" width="31.5703125" style="95" customWidth="1"/>
    <col min="9" max="9" width="34" customWidth="1"/>
    <col min="10" max="10" width="16" customWidth="1"/>
    <col min="11" max="11" width="19.140625" customWidth="1"/>
    <col min="12" max="12" width="12.5703125" customWidth="1"/>
    <col min="13" max="13" width="18" customWidth="1"/>
    <col min="14" max="14" width="18.28515625" customWidth="1"/>
  </cols>
  <sheetData>
    <row r="1" spans="1:28" ht="15.75" x14ac:dyDescent="0.25">
      <c r="A1" s="1" t="s">
        <v>373</v>
      </c>
      <c r="B1" s="1"/>
      <c r="C1" s="1"/>
      <c r="D1" s="2"/>
      <c r="E1" s="2"/>
      <c r="F1" s="97"/>
      <c r="G1" s="2"/>
      <c r="H1" s="94"/>
      <c r="I1" s="3"/>
      <c r="J1" s="4"/>
      <c r="K1" s="4"/>
      <c r="L1" s="4"/>
      <c r="M1" s="4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x14ac:dyDescent="0.25">
      <c r="A2" s="2"/>
      <c r="B2" s="2"/>
      <c r="C2" s="2"/>
      <c r="D2" s="2"/>
      <c r="E2" s="2" t="s">
        <v>375</v>
      </c>
      <c r="F2" s="97">
        <v>1.2142999999999999</v>
      </c>
      <c r="H2" s="94">
        <v>1.1475</v>
      </c>
      <c r="I2" s="3"/>
      <c r="J2" s="4"/>
      <c r="K2" s="4"/>
      <c r="L2" s="4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x14ac:dyDescent="0.25">
      <c r="A3" s="2"/>
      <c r="B3" s="2" t="s">
        <v>0</v>
      </c>
      <c r="C3" s="2"/>
      <c r="D3" s="2"/>
      <c r="E3" s="2" t="s">
        <v>1</v>
      </c>
      <c r="F3" s="97" t="s">
        <v>377</v>
      </c>
      <c r="G3" s="2" t="s">
        <v>2</v>
      </c>
      <c r="H3" s="94" t="s">
        <v>378</v>
      </c>
      <c r="I3" s="3" t="s">
        <v>3</v>
      </c>
      <c r="J3" s="5" t="s">
        <v>4</v>
      </c>
      <c r="K3" s="5" t="s">
        <v>5</v>
      </c>
      <c r="L3" s="5" t="s">
        <v>6</v>
      </c>
      <c r="M3" s="5" t="s">
        <v>7</v>
      </c>
      <c r="N3" s="5" t="s">
        <v>8</v>
      </c>
      <c r="O3" s="2" t="s">
        <v>9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5">
      <c r="A4" s="116"/>
      <c r="B4" s="116"/>
      <c r="C4" s="116" t="s">
        <v>10</v>
      </c>
      <c r="D4" s="116"/>
      <c r="E4" s="116">
        <f>SUM(E5:E86)</f>
        <v>434.39999999999992</v>
      </c>
      <c r="F4" s="117">
        <f>E4*1.2143</f>
        <v>527.49191999999982</v>
      </c>
      <c r="G4" s="116">
        <f>SUM(G5:G86)</f>
        <v>454.29999999999995</v>
      </c>
      <c r="H4" s="118">
        <f>G4*1.1475</f>
        <v>521.30924999999991</v>
      </c>
      <c r="I4" s="119">
        <f>I5+I17+I28+I31+I36+I42+I46+I49+I52+I57+I60+I64+I71+I73+I77+I84+I86+I94+I97+I98+I99</f>
        <v>647.23120599999982</v>
      </c>
      <c r="J4" s="8">
        <f>SUM(J5:J98)</f>
        <v>298.510695</v>
      </c>
      <c r="K4" s="8">
        <f>SUM(K5:K98)</f>
        <v>94.5</v>
      </c>
      <c r="L4" s="8">
        <f>SUM(L5:L98)</f>
        <v>19.514250000000001</v>
      </c>
      <c r="M4" s="8">
        <f>SUM(M5:M98)</f>
        <v>186.04531400000002</v>
      </c>
      <c r="N4" s="8">
        <f>SUM(N5:N99)</f>
        <v>48.716850000000001</v>
      </c>
      <c r="O4" s="9"/>
      <c r="P4" s="2"/>
      <c r="Q4" s="3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5">
      <c r="A5" s="2" t="s">
        <v>11</v>
      </c>
      <c r="B5" s="2" t="s">
        <v>12</v>
      </c>
      <c r="C5" s="2" t="s">
        <v>13</v>
      </c>
      <c r="D5" s="2"/>
      <c r="E5" s="2">
        <v>16.100000000000001</v>
      </c>
      <c r="F5" s="97">
        <f t="shared" ref="F5:F64" si="0">E5*1.2143</f>
        <v>19.550229999999999</v>
      </c>
      <c r="G5" s="2">
        <v>7.6</v>
      </c>
      <c r="H5" s="94">
        <f t="shared" ref="H5:H64" si="1">G5*1.1475</f>
        <v>8.7210000000000001</v>
      </c>
      <c r="I5" s="8">
        <f>SUM(I6:I16)</f>
        <v>9.3306329999999988</v>
      </c>
      <c r="J5" s="10"/>
      <c r="K5" s="10"/>
      <c r="L5" s="10"/>
      <c r="M5" s="10"/>
      <c r="N5" s="1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A6" s="2"/>
      <c r="B6" s="2"/>
      <c r="C6" s="2" t="s">
        <v>14</v>
      </c>
      <c r="D6" s="2"/>
      <c r="E6" s="2"/>
      <c r="F6" s="97"/>
      <c r="G6" s="2"/>
      <c r="H6" s="94"/>
      <c r="I6" s="3">
        <v>0.11164200000000001</v>
      </c>
      <c r="J6" s="11"/>
      <c r="K6" s="11"/>
      <c r="L6" s="11"/>
      <c r="M6" s="11"/>
      <c r="N6" s="11">
        <f>I6</f>
        <v>0.11164200000000001</v>
      </c>
      <c r="O6" s="12" t="s">
        <v>15</v>
      </c>
      <c r="P6" s="2"/>
      <c r="Q6" s="2"/>
      <c r="R6" s="2"/>
      <c r="S6" s="2"/>
      <c r="T6" s="2"/>
      <c r="U6" s="2"/>
      <c r="V6" s="2"/>
      <c r="W6" s="2"/>
      <c r="X6" s="3"/>
      <c r="Y6" s="2"/>
      <c r="Z6" s="2"/>
      <c r="AA6" s="2"/>
      <c r="AB6" s="2"/>
    </row>
    <row r="7" spans="1:28" ht="15.75" x14ac:dyDescent="0.25">
      <c r="A7" s="2"/>
      <c r="B7" s="2"/>
      <c r="C7" s="2" t="s">
        <v>372</v>
      </c>
      <c r="D7" s="2"/>
      <c r="E7" s="2"/>
      <c r="F7" s="97"/>
      <c r="G7" s="2"/>
      <c r="H7" s="94"/>
      <c r="I7" s="3">
        <v>0.16206100000000001</v>
      </c>
      <c r="J7" s="11"/>
      <c r="K7" s="11"/>
      <c r="L7" s="11"/>
      <c r="M7" s="11"/>
      <c r="N7" s="11">
        <f>I7</f>
        <v>0.16206100000000001</v>
      </c>
      <c r="O7" s="12" t="s">
        <v>15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5">
      <c r="A8" s="2"/>
      <c r="B8" s="2"/>
      <c r="C8" s="2" t="s">
        <v>16</v>
      </c>
      <c r="D8" s="2"/>
      <c r="E8" s="2"/>
      <c r="F8" s="97"/>
      <c r="G8" s="2"/>
      <c r="H8" s="94"/>
      <c r="I8" s="3">
        <v>0.72045499999999996</v>
      </c>
      <c r="J8" s="11">
        <f>I8</f>
        <v>0.72045499999999996</v>
      </c>
      <c r="K8" s="11"/>
      <c r="L8" s="11"/>
      <c r="M8" s="11"/>
      <c r="N8" s="11"/>
      <c r="O8" s="2" t="s">
        <v>17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5">
      <c r="A9" s="13"/>
      <c r="B9" s="13"/>
      <c r="C9" s="13" t="s">
        <v>18</v>
      </c>
      <c r="D9" s="13"/>
      <c r="E9" s="13"/>
      <c r="F9" s="97"/>
      <c r="G9" s="13"/>
      <c r="H9" s="94"/>
      <c r="I9" s="14">
        <v>0.19409999999999999</v>
      </c>
      <c r="J9" s="15">
        <f>I9</f>
        <v>0.19409999999999999</v>
      </c>
      <c r="K9" s="15"/>
      <c r="L9" s="15"/>
      <c r="M9" s="15"/>
      <c r="N9" s="15"/>
      <c r="O9" s="13" t="s">
        <v>19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ht="15.75" x14ac:dyDescent="0.25">
      <c r="A10" s="2"/>
      <c r="B10" s="2"/>
      <c r="C10" s="2" t="s">
        <v>20</v>
      </c>
      <c r="D10" s="2"/>
      <c r="E10" s="2"/>
      <c r="F10" s="97"/>
      <c r="G10" s="2"/>
      <c r="H10" s="94"/>
      <c r="I10" s="3">
        <v>2.4910000000000001</v>
      </c>
      <c r="J10" s="11"/>
      <c r="K10" s="11"/>
      <c r="L10" s="11"/>
      <c r="M10" s="11"/>
      <c r="N10" s="11">
        <f t="shared" ref="N10:N14" si="2">I10</f>
        <v>2.4910000000000001</v>
      </c>
      <c r="O10" s="2" t="s">
        <v>21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5">
      <c r="A11" s="2"/>
      <c r="B11" s="2"/>
      <c r="C11" s="2" t="s">
        <v>22</v>
      </c>
      <c r="D11" s="2"/>
      <c r="E11" s="2"/>
      <c r="F11" s="97"/>
      <c r="G11" s="115"/>
      <c r="H11" s="94"/>
      <c r="I11" s="3">
        <v>0.27676899999999999</v>
      </c>
      <c r="J11" s="11"/>
      <c r="K11" s="11"/>
      <c r="L11" s="11"/>
      <c r="M11" s="11"/>
      <c r="N11" s="11">
        <f t="shared" si="2"/>
        <v>0.27676899999999999</v>
      </c>
      <c r="O11" s="2" t="s">
        <v>23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5">
      <c r="A12" s="2"/>
      <c r="B12" s="2"/>
      <c r="C12" s="2" t="s">
        <v>24</v>
      </c>
      <c r="D12" s="2"/>
      <c r="E12" s="2"/>
      <c r="F12" s="97"/>
      <c r="G12" s="2"/>
      <c r="H12" s="94"/>
      <c r="I12" s="3">
        <v>0.95215700000000003</v>
      </c>
      <c r="J12" s="11"/>
      <c r="K12" s="11"/>
      <c r="L12" s="11"/>
      <c r="M12" s="11"/>
      <c r="N12" s="11">
        <f t="shared" si="2"/>
        <v>0.95215700000000003</v>
      </c>
      <c r="O12" s="2" t="s">
        <v>23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5">
      <c r="A13" s="2"/>
      <c r="B13" s="2"/>
      <c r="C13" s="2" t="s">
        <v>25</v>
      </c>
      <c r="D13" s="2"/>
      <c r="E13" s="2"/>
      <c r="F13" s="97"/>
      <c r="G13" s="2"/>
      <c r="H13" s="94"/>
      <c r="I13" s="3">
        <v>0.52794600000000003</v>
      </c>
      <c r="J13" s="11"/>
      <c r="K13" s="11"/>
      <c r="L13" s="11"/>
      <c r="M13" s="11"/>
      <c r="N13" s="11">
        <f t="shared" si="2"/>
        <v>0.52794600000000003</v>
      </c>
      <c r="O13" s="2" t="s">
        <v>23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5">
      <c r="A14" s="2"/>
      <c r="B14" s="2"/>
      <c r="C14" s="2" t="s">
        <v>26</v>
      </c>
      <c r="D14" s="2"/>
      <c r="E14" s="2"/>
      <c r="F14" s="97"/>
      <c r="G14" s="2"/>
      <c r="H14" s="94"/>
      <c r="I14" s="3">
        <v>1.5130030000000001</v>
      </c>
      <c r="J14" s="11"/>
      <c r="K14" s="11"/>
      <c r="L14" s="11"/>
      <c r="M14" s="11"/>
      <c r="N14" s="11">
        <f t="shared" si="2"/>
        <v>1.5130030000000001</v>
      </c>
      <c r="O14" s="2" t="s">
        <v>27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5">
      <c r="A15" s="2"/>
      <c r="B15" s="2"/>
      <c r="C15" s="2" t="s">
        <v>29</v>
      </c>
      <c r="D15" s="2"/>
      <c r="E15" s="2"/>
      <c r="F15" s="97"/>
      <c r="G15" s="2"/>
      <c r="H15" s="94"/>
      <c r="I15" s="3">
        <v>0.18149999999999999</v>
      </c>
      <c r="J15" s="11">
        <f>I15</f>
        <v>0.18149999999999999</v>
      </c>
      <c r="K15" s="11"/>
      <c r="L15" s="11"/>
      <c r="M15" s="11"/>
      <c r="N15" s="11"/>
      <c r="O15" s="2" t="s">
        <v>19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5">
      <c r="A16" s="2"/>
      <c r="B16" s="2"/>
      <c r="C16" s="16" t="s">
        <v>30</v>
      </c>
      <c r="D16" s="2"/>
      <c r="E16" s="2"/>
      <c r="F16" s="100"/>
      <c r="G16" s="2"/>
      <c r="H16" s="102"/>
      <c r="I16" s="3">
        <v>2.2000000000000002</v>
      </c>
      <c r="J16" s="11">
        <f>I16</f>
        <v>2.2000000000000002</v>
      </c>
      <c r="K16" s="11"/>
      <c r="L16" s="11"/>
      <c r="M16" s="11"/>
      <c r="N16" s="11"/>
      <c r="O16" s="16" t="s">
        <v>31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5">
      <c r="A17" s="17" t="s">
        <v>32</v>
      </c>
      <c r="B17" s="17" t="s">
        <v>33</v>
      </c>
      <c r="C17" s="17" t="s">
        <v>34</v>
      </c>
      <c r="D17" s="17"/>
      <c r="E17" s="17">
        <v>8.1</v>
      </c>
      <c r="F17" s="101">
        <f t="shared" si="0"/>
        <v>9.8358299999999996</v>
      </c>
      <c r="G17" s="17">
        <v>8.3000000000000007</v>
      </c>
      <c r="H17" s="103">
        <f t="shared" si="1"/>
        <v>9.5242500000000003</v>
      </c>
      <c r="I17" s="18">
        <f>SUM(I18:I27)</f>
        <v>24.246918000000001</v>
      </c>
      <c r="J17" s="19"/>
      <c r="K17" s="19"/>
      <c r="L17" s="19"/>
      <c r="M17" s="19"/>
      <c r="N17" s="19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15.75" x14ac:dyDescent="0.25">
      <c r="A18" s="20"/>
      <c r="B18" s="20"/>
      <c r="C18" s="21" t="s">
        <v>35</v>
      </c>
      <c r="D18" s="20"/>
      <c r="E18" s="20"/>
      <c r="F18" s="97"/>
      <c r="G18" s="20"/>
      <c r="H18" s="94"/>
      <c r="I18" s="22">
        <v>11.065683</v>
      </c>
      <c r="J18" s="23">
        <f>I18</f>
        <v>11.065683</v>
      </c>
      <c r="K18" s="23"/>
      <c r="L18" s="23"/>
      <c r="M18" s="23"/>
      <c r="N18" s="23"/>
      <c r="O18" s="21" t="s">
        <v>36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15.75" x14ac:dyDescent="0.25">
      <c r="A19" s="13"/>
      <c r="B19" s="13"/>
      <c r="C19" s="13" t="s">
        <v>37</v>
      </c>
      <c r="D19" s="13"/>
      <c r="E19" s="13"/>
      <c r="F19" s="97"/>
      <c r="G19" s="13"/>
      <c r="H19" s="94"/>
      <c r="I19" s="14">
        <f>I9</f>
        <v>0.19409999999999999</v>
      </c>
      <c r="J19" s="15">
        <f>I19</f>
        <v>0.19409999999999999</v>
      </c>
      <c r="K19" s="15"/>
      <c r="L19" s="15"/>
      <c r="M19" s="15"/>
      <c r="N19" s="15"/>
      <c r="O19" s="13" t="s">
        <v>19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15.75" x14ac:dyDescent="0.25">
      <c r="A20" s="2"/>
      <c r="B20" s="2"/>
      <c r="C20" s="2" t="s">
        <v>28</v>
      </c>
      <c r="D20" s="2"/>
      <c r="E20" s="2"/>
      <c r="F20" s="97"/>
      <c r="G20" s="2"/>
      <c r="H20" s="94"/>
      <c r="I20" s="3">
        <v>0.16500000000000001</v>
      </c>
      <c r="J20" s="11"/>
      <c r="K20" s="11"/>
      <c r="L20" s="11"/>
      <c r="M20" s="11"/>
      <c r="N20" s="11">
        <f>I20</f>
        <v>0.16500000000000001</v>
      </c>
      <c r="O20" s="2" t="s">
        <v>376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5">
      <c r="A21" s="2"/>
      <c r="B21" s="2"/>
      <c r="C21" s="2" t="s">
        <v>38</v>
      </c>
      <c r="D21" s="2"/>
      <c r="E21" s="2"/>
      <c r="F21" s="97"/>
      <c r="G21" s="2"/>
      <c r="H21" s="94"/>
      <c r="I21" s="3">
        <v>0</v>
      </c>
      <c r="J21" s="11"/>
      <c r="K21" s="11"/>
      <c r="L21" s="11"/>
      <c r="M21" s="11"/>
      <c r="N21" s="11"/>
      <c r="O21" s="13" t="s">
        <v>19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5">
      <c r="A22" s="2"/>
      <c r="B22" s="2"/>
      <c r="C22" s="2" t="s">
        <v>39</v>
      </c>
      <c r="D22" s="2"/>
      <c r="E22" s="2"/>
      <c r="F22" s="97"/>
      <c r="G22" s="2"/>
      <c r="H22" s="94"/>
      <c r="I22" s="3">
        <v>0.41969099999999998</v>
      </c>
      <c r="J22" s="11"/>
      <c r="K22" s="11"/>
      <c r="L22" s="11"/>
      <c r="M22" s="11"/>
      <c r="N22" s="11">
        <f>I22</f>
        <v>0.41969099999999998</v>
      </c>
      <c r="O22" s="2" t="s">
        <v>40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5">
      <c r="A23" s="2"/>
      <c r="B23" s="2"/>
      <c r="C23" s="2" t="s">
        <v>41</v>
      </c>
      <c r="D23" s="2"/>
      <c r="E23" s="2"/>
      <c r="F23" s="97"/>
      <c r="G23" s="2"/>
      <c r="H23" s="94"/>
      <c r="I23" s="3">
        <v>1</v>
      </c>
      <c r="J23" s="11"/>
      <c r="K23" s="11"/>
      <c r="L23" s="11"/>
      <c r="M23" s="11">
        <f>I23</f>
        <v>1</v>
      </c>
      <c r="N23" s="11"/>
      <c r="O23" s="24" t="s">
        <v>42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5">
      <c r="A24" s="2"/>
      <c r="B24" s="2"/>
      <c r="C24" s="2" t="s">
        <v>43</v>
      </c>
      <c r="D24" s="2"/>
      <c r="E24" s="2"/>
      <c r="F24" s="97"/>
      <c r="G24" s="2"/>
      <c r="H24" s="94"/>
      <c r="I24" s="3">
        <v>2.6</v>
      </c>
      <c r="J24" s="11">
        <f>I24</f>
        <v>2.6</v>
      </c>
      <c r="K24" s="11"/>
      <c r="L24" s="11"/>
      <c r="M24" s="11"/>
      <c r="N24" s="11"/>
      <c r="O24" s="2" t="s">
        <v>31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5">
      <c r="A25" s="25"/>
      <c r="B25" s="25"/>
      <c r="C25" s="13" t="s">
        <v>44</v>
      </c>
      <c r="D25" s="25"/>
      <c r="E25" s="25"/>
      <c r="F25" s="97"/>
      <c r="G25" s="25"/>
      <c r="H25" s="94"/>
      <c r="I25" s="14">
        <v>0.52900000000000003</v>
      </c>
      <c r="J25" s="15"/>
      <c r="K25" s="15"/>
      <c r="L25" s="15"/>
      <c r="M25" s="15"/>
      <c r="N25" s="15">
        <f>I25</f>
        <v>0.52900000000000003</v>
      </c>
      <c r="O25" s="13" t="s">
        <v>45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ht="15.75" x14ac:dyDescent="0.25">
      <c r="A26" s="13"/>
      <c r="B26" s="13"/>
      <c r="C26" s="13" t="s">
        <v>46</v>
      </c>
      <c r="D26" s="13"/>
      <c r="E26" s="13"/>
      <c r="F26" s="97"/>
      <c r="G26" s="13"/>
      <c r="H26" s="94"/>
      <c r="I26" s="14">
        <v>5.9734439999999998</v>
      </c>
      <c r="J26" s="15"/>
      <c r="K26" s="15">
        <v>6</v>
      </c>
      <c r="L26" s="15"/>
      <c r="M26" s="15"/>
      <c r="N26" s="15"/>
      <c r="O26" s="13" t="s">
        <v>47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ht="15.75" x14ac:dyDescent="0.25">
      <c r="A27" s="26"/>
      <c r="B27" s="26"/>
      <c r="C27" s="16" t="s">
        <v>48</v>
      </c>
      <c r="D27" s="26"/>
      <c r="E27" s="26"/>
      <c r="F27" s="100"/>
      <c r="G27" s="26"/>
      <c r="H27" s="102"/>
      <c r="I27" s="27">
        <v>2.2999999999999998</v>
      </c>
      <c r="J27" s="28">
        <f>I27</f>
        <v>2.2999999999999998</v>
      </c>
      <c r="K27" s="28"/>
      <c r="L27" s="28"/>
      <c r="M27" s="28"/>
      <c r="N27" s="28"/>
      <c r="O27" s="2" t="s">
        <v>31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ht="15.75" x14ac:dyDescent="0.25">
      <c r="A28" s="2" t="s">
        <v>49</v>
      </c>
      <c r="B28" s="2" t="s">
        <v>50</v>
      </c>
      <c r="C28" s="2" t="s">
        <v>51</v>
      </c>
      <c r="D28" s="2"/>
      <c r="E28" s="2">
        <v>5.0999999999999996</v>
      </c>
      <c r="F28" s="101">
        <f t="shared" si="0"/>
        <v>6.1929299999999996</v>
      </c>
      <c r="G28" s="2">
        <v>7.4</v>
      </c>
      <c r="H28" s="103">
        <f t="shared" si="1"/>
        <v>8.4915000000000003</v>
      </c>
      <c r="I28" s="8">
        <f>I29+I30</f>
        <v>5.052657</v>
      </c>
      <c r="J28" s="11"/>
      <c r="K28" s="11"/>
      <c r="L28" s="11"/>
      <c r="M28" s="11"/>
      <c r="N28" s="11"/>
      <c r="O28" s="1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x14ac:dyDescent="0.25">
      <c r="A29" s="2"/>
      <c r="B29" s="2"/>
      <c r="C29" s="2" t="s">
        <v>35</v>
      </c>
      <c r="D29" s="2"/>
      <c r="E29" s="2"/>
      <c r="F29" s="97"/>
      <c r="G29" s="2"/>
      <c r="H29" s="94"/>
      <c r="I29" s="3">
        <v>2.7526570000000001</v>
      </c>
      <c r="J29" s="11"/>
      <c r="K29" s="11"/>
      <c r="L29" s="11"/>
      <c r="M29" s="11">
        <f>I29</f>
        <v>2.7526570000000001</v>
      </c>
      <c r="N29" s="11"/>
      <c r="O29" s="21" t="s">
        <v>36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x14ac:dyDescent="0.25">
      <c r="A30" s="29"/>
      <c r="B30" s="29"/>
      <c r="C30" s="29" t="s">
        <v>52</v>
      </c>
      <c r="D30" s="29"/>
      <c r="E30" s="29"/>
      <c r="F30" s="104"/>
      <c r="G30" s="29"/>
      <c r="H30" s="106"/>
      <c r="I30" s="30">
        <v>2.2999999999999998</v>
      </c>
      <c r="J30" s="31">
        <f>I30</f>
        <v>2.2999999999999998</v>
      </c>
      <c r="K30" s="31"/>
      <c r="L30" s="31"/>
      <c r="M30" s="31"/>
      <c r="N30" s="31"/>
      <c r="O30" s="29" t="s">
        <v>31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5.75" x14ac:dyDescent="0.25">
      <c r="A31" s="2" t="s">
        <v>53</v>
      </c>
      <c r="B31" s="2" t="s">
        <v>54</v>
      </c>
      <c r="C31" s="2" t="s">
        <v>55</v>
      </c>
      <c r="D31" s="2"/>
      <c r="E31" s="2">
        <v>24.2</v>
      </c>
      <c r="F31" s="105">
        <f t="shared" si="0"/>
        <v>29.386059999999997</v>
      </c>
      <c r="G31" s="2">
        <v>21.3</v>
      </c>
      <c r="H31" s="107">
        <f t="shared" si="1"/>
        <v>24.441749999999999</v>
      </c>
      <c r="I31" s="8">
        <f>SUM(I32:I35)</f>
        <v>95.6</v>
      </c>
      <c r="J31" s="11"/>
      <c r="K31" s="11"/>
      <c r="L31" s="11"/>
      <c r="M31" s="11"/>
      <c r="N31" s="11"/>
      <c r="O31" s="3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x14ac:dyDescent="0.25">
      <c r="A32" s="2"/>
      <c r="B32" s="2"/>
      <c r="C32" s="2" t="s">
        <v>56</v>
      </c>
      <c r="D32" s="2"/>
      <c r="E32" s="2"/>
      <c r="F32" s="97"/>
      <c r="G32" s="2"/>
      <c r="H32" s="94"/>
      <c r="I32" s="3">
        <v>9.1</v>
      </c>
      <c r="J32" s="11">
        <f>I32</f>
        <v>9.1</v>
      </c>
      <c r="K32" s="11"/>
      <c r="L32" s="11"/>
      <c r="M32" s="11"/>
      <c r="N32" s="11"/>
      <c r="O32" s="32" t="s">
        <v>57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x14ac:dyDescent="0.25">
      <c r="A33" s="2"/>
      <c r="B33" s="2"/>
      <c r="C33" s="32" t="s">
        <v>58</v>
      </c>
      <c r="D33" s="2"/>
      <c r="E33" s="2"/>
      <c r="F33" s="97"/>
      <c r="G33" s="2"/>
      <c r="H33" s="94"/>
      <c r="I33" s="3">
        <v>10</v>
      </c>
      <c r="J33" s="11">
        <f>I33</f>
        <v>10</v>
      </c>
      <c r="K33" s="11"/>
      <c r="L33" s="11"/>
      <c r="M33" s="11"/>
      <c r="N33" s="11"/>
      <c r="O33" s="13" t="s">
        <v>59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x14ac:dyDescent="0.25">
      <c r="A34" s="2"/>
      <c r="B34" s="2"/>
      <c r="C34" s="32" t="s">
        <v>374</v>
      </c>
      <c r="D34" s="2"/>
      <c r="E34" s="2"/>
      <c r="F34" s="97"/>
      <c r="G34" s="2"/>
      <c r="H34" s="94"/>
      <c r="I34" s="3">
        <v>72.5</v>
      </c>
      <c r="J34" s="11">
        <v>72.5</v>
      </c>
      <c r="K34" s="11"/>
      <c r="L34" s="11"/>
      <c r="M34" s="11"/>
      <c r="N34" s="11"/>
      <c r="O34" s="13" t="s">
        <v>60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x14ac:dyDescent="0.25">
      <c r="A35" s="29"/>
      <c r="B35" s="29"/>
      <c r="C35" s="29" t="s">
        <v>61</v>
      </c>
      <c r="D35" s="29"/>
      <c r="E35" s="29"/>
      <c r="F35" s="104"/>
      <c r="G35" s="29"/>
      <c r="H35" s="106"/>
      <c r="I35" s="30">
        <v>4</v>
      </c>
      <c r="J35" s="31">
        <f>I35</f>
        <v>4</v>
      </c>
      <c r="K35" s="31"/>
      <c r="L35" s="31"/>
      <c r="M35" s="31"/>
      <c r="N35" s="31"/>
      <c r="O35" s="33" t="s">
        <v>62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ht="15.75" x14ac:dyDescent="0.25">
      <c r="A36" s="24" t="s">
        <v>63</v>
      </c>
      <c r="B36" s="24" t="s">
        <v>64</v>
      </c>
      <c r="C36" s="24" t="s">
        <v>65</v>
      </c>
      <c r="D36" s="24"/>
      <c r="E36" s="24">
        <v>12.2</v>
      </c>
      <c r="F36" s="105">
        <f t="shared" si="0"/>
        <v>14.814459999999999</v>
      </c>
      <c r="G36" s="24">
        <v>12.9</v>
      </c>
      <c r="H36" s="107">
        <f t="shared" si="1"/>
        <v>14.80275</v>
      </c>
      <c r="I36" s="34">
        <f>SUM(I37:I41)</f>
        <v>54.590719</v>
      </c>
      <c r="J36" s="35"/>
      <c r="K36" s="35"/>
      <c r="L36" s="35"/>
      <c r="M36" s="35"/>
      <c r="N36" s="35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ht="15.75" x14ac:dyDescent="0.25">
      <c r="A37" s="24"/>
      <c r="B37" s="24"/>
      <c r="C37" s="24" t="s">
        <v>66</v>
      </c>
      <c r="D37" s="24"/>
      <c r="E37" s="24"/>
      <c r="F37" s="97"/>
      <c r="G37" s="24"/>
      <c r="H37" s="94"/>
      <c r="I37" s="36">
        <v>3.1973910000000001</v>
      </c>
      <c r="J37" s="35">
        <v>3.1973910000000001</v>
      </c>
      <c r="K37" s="35"/>
      <c r="L37" s="35"/>
      <c r="M37" s="35"/>
      <c r="N37" s="35"/>
      <c r="O37" s="24" t="s">
        <v>67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 ht="15.75" x14ac:dyDescent="0.25">
      <c r="A38" s="24"/>
      <c r="B38" s="24"/>
      <c r="C38" s="24" t="s">
        <v>68</v>
      </c>
      <c r="D38" s="24"/>
      <c r="E38" s="24"/>
      <c r="F38" s="97"/>
      <c r="G38" s="24"/>
      <c r="H38" s="94"/>
      <c r="I38" s="37">
        <f>2855551/1000000</f>
        <v>2.8555510000000002</v>
      </c>
      <c r="J38" s="35">
        <v>2.9</v>
      </c>
      <c r="K38" s="35"/>
      <c r="L38" s="35"/>
      <c r="M38" s="35"/>
      <c r="N38" s="35"/>
      <c r="O38" s="24" t="s">
        <v>69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8" ht="15.75" x14ac:dyDescent="0.25">
      <c r="A39" s="24"/>
      <c r="B39" s="24"/>
      <c r="C39" s="24" t="s">
        <v>70</v>
      </c>
      <c r="D39" s="24"/>
      <c r="E39" s="24"/>
      <c r="F39" s="97"/>
      <c r="G39" s="24"/>
      <c r="H39" s="94"/>
      <c r="I39" s="37">
        <f>3722363/1000000</f>
        <v>3.7223630000000001</v>
      </c>
      <c r="J39" s="35">
        <v>3.7</v>
      </c>
      <c r="K39" s="35"/>
      <c r="L39" s="35"/>
      <c r="M39" s="35"/>
      <c r="N39" s="35"/>
      <c r="O39" s="24" t="s">
        <v>69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28" ht="15.75" x14ac:dyDescent="0.25">
      <c r="A40" s="24"/>
      <c r="B40" s="24"/>
      <c r="C40" s="24" t="s">
        <v>71</v>
      </c>
      <c r="D40" s="24"/>
      <c r="E40" s="24"/>
      <c r="F40" s="97"/>
      <c r="G40" s="24"/>
      <c r="H40" s="94"/>
      <c r="I40" s="37">
        <f>1215414/1000000</f>
        <v>1.215414</v>
      </c>
      <c r="J40" s="35">
        <v>1.2</v>
      </c>
      <c r="K40" s="35"/>
      <c r="L40" s="35"/>
      <c r="M40" s="35"/>
      <c r="N40" s="35"/>
      <c r="O40" s="24" t="s">
        <v>69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28" ht="15.75" x14ac:dyDescent="0.25">
      <c r="A41" s="29"/>
      <c r="B41" s="29"/>
      <c r="C41" s="29" t="s">
        <v>72</v>
      </c>
      <c r="D41" s="29"/>
      <c r="E41" s="29"/>
      <c r="F41" s="104"/>
      <c r="G41" s="29"/>
      <c r="H41" s="106"/>
      <c r="I41" s="38">
        <v>43.6</v>
      </c>
      <c r="J41" s="31"/>
      <c r="K41" s="31"/>
      <c r="L41" s="31"/>
      <c r="M41" s="31">
        <v>43.6</v>
      </c>
      <c r="N41" s="31"/>
      <c r="O41" s="29" t="s">
        <v>42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ht="15.75" x14ac:dyDescent="0.25">
      <c r="A42" s="2" t="s">
        <v>73</v>
      </c>
      <c r="B42" s="2" t="s">
        <v>74</v>
      </c>
      <c r="C42" s="2" t="s">
        <v>75</v>
      </c>
      <c r="D42" s="2"/>
      <c r="E42" s="2">
        <v>19.2</v>
      </c>
      <c r="F42" s="105">
        <f t="shared" si="0"/>
        <v>23.314559999999997</v>
      </c>
      <c r="G42" s="2">
        <v>19</v>
      </c>
      <c r="H42" s="107">
        <f t="shared" si="1"/>
        <v>21.802499999999998</v>
      </c>
      <c r="I42" s="8">
        <f>I43+I44+I45</f>
        <v>17.490512000000003</v>
      </c>
      <c r="J42" s="11"/>
      <c r="K42" s="11"/>
      <c r="L42" s="11"/>
      <c r="M42" s="11"/>
      <c r="N42" s="1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x14ac:dyDescent="0.25">
      <c r="A43" s="24"/>
      <c r="B43" s="24"/>
      <c r="C43" s="24" t="s">
        <v>76</v>
      </c>
      <c r="D43" s="24"/>
      <c r="E43" s="24"/>
      <c r="F43" s="97"/>
      <c r="G43" s="24"/>
      <c r="H43" s="94"/>
      <c r="I43" s="37">
        <v>1.5105120000000001</v>
      </c>
      <c r="J43" s="35"/>
      <c r="K43" s="35"/>
      <c r="L43" s="35"/>
      <c r="M43" s="35"/>
      <c r="N43" s="35">
        <v>1.5</v>
      </c>
      <c r="O43" s="24" t="s">
        <v>77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 ht="15.75" x14ac:dyDescent="0.25">
      <c r="A44" s="24"/>
      <c r="B44" s="24"/>
      <c r="C44" s="24" t="s">
        <v>78</v>
      </c>
      <c r="D44" s="24"/>
      <c r="E44" s="24"/>
      <c r="F44" s="97"/>
      <c r="G44" s="24"/>
      <c r="H44" s="94"/>
      <c r="I44" s="37">
        <v>12.98</v>
      </c>
      <c r="J44" s="35"/>
      <c r="K44" s="35"/>
      <c r="L44" s="35"/>
      <c r="M44" s="35"/>
      <c r="N44" s="35">
        <f>I44</f>
        <v>12.98</v>
      </c>
      <c r="O44" s="24" t="s">
        <v>79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1:28" ht="15.75" x14ac:dyDescent="0.25">
      <c r="A45" s="29"/>
      <c r="B45" s="29"/>
      <c r="C45" s="29" t="s">
        <v>80</v>
      </c>
      <c r="D45" s="29"/>
      <c r="E45" s="29"/>
      <c r="F45" s="104"/>
      <c r="G45" s="29"/>
      <c r="H45" s="106"/>
      <c r="I45" s="30">
        <v>3</v>
      </c>
      <c r="J45" s="31"/>
      <c r="K45" s="31"/>
      <c r="L45" s="31">
        <f>I45</f>
        <v>3</v>
      </c>
      <c r="M45" s="31"/>
      <c r="N45" s="31"/>
      <c r="O45" s="29" t="s">
        <v>81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1:28" ht="15.75" x14ac:dyDescent="0.25">
      <c r="A46" s="2" t="s">
        <v>82</v>
      </c>
      <c r="B46" s="2" t="s">
        <v>83</v>
      </c>
      <c r="C46" s="2" t="s">
        <v>84</v>
      </c>
      <c r="D46" s="2"/>
      <c r="E46" s="2">
        <v>0.2</v>
      </c>
      <c r="F46" s="105">
        <f t="shared" si="0"/>
        <v>0.24285999999999999</v>
      </c>
      <c r="G46" s="2">
        <v>0.5</v>
      </c>
      <c r="H46" s="107">
        <f t="shared" si="1"/>
        <v>0.57374999999999998</v>
      </c>
      <c r="I46" s="39">
        <f>I47+I48</f>
        <v>0.15345</v>
      </c>
      <c r="J46" s="11"/>
      <c r="K46" s="11"/>
      <c r="L46" s="11"/>
      <c r="M46" s="11"/>
      <c r="N46" s="11"/>
      <c r="O46" s="24" t="s">
        <v>42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x14ac:dyDescent="0.25">
      <c r="A47" s="2"/>
      <c r="B47" s="2"/>
      <c r="C47" s="2" t="s">
        <v>85</v>
      </c>
      <c r="D47" s="2"/>
      <c r="E47" s="2"/>
      <c r="F47" s="97"/>
      <c r="G47" s="2"/>
      <c r="H47" s="94"/>
      <c r="I47" s="40">
        <v>5.5016000000000002E-2</v>
      </c>
      <c r="J47" s="11"/>
      <c r="K47" s="11"/>
      <c r="L47" s="11"/>
      <c r="M47" s="11"/>
      <c r="N47" s="40">
        <v>5.5016000000000002E-2</v>
      </c>
      <c r="O47" s="24" t="s">
        <v>86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x14ac:dyDescent="0.25">
      <c r="A48" s="29"/>
      <c r="B48" s="29"/>
      <c r="C48" s="29" t="s">
        <v>87</v>
      </c>
      <c r="D48" s="29"/>
      <c r="E48" s="29"/>
      <c r="F48" s="104"/>
      <c r="G48" s="29"/>
      <c r="H48" s="106"/>
      <c r="I48" s="41">
        <v>9.8433999999999994E-2</v>
      </c>
      <c r="J48" s="31"/>
      <c r="K48" s="31"/>
      <c r="L48" s="31"/>
      <c r="M48" s="31"/>
      <c r="N48" s="41">
        <v>9.8433999999999994E-2</v>
      </c>
      <c r="O48" s="29" t="s">
        <v>86</v>
      </c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</row>
    <row r="49" spans="1:28" ht="15.75" x14ac:dyDescent="0.25">
      <c r="A49" s="2" t="s">
        <v>88</v>
      </c>
      <c r="B49" s="2" t="s">
        <v>89</v>
      </c>
      <c r="C49" s="2" t="s">
        <v>90</v>
      </c>
      <c r="D49" s="2"/>
      <c r="E49" s="2">
        <v>1.8</v>
      </c>
      <c r="F49" s="105">
        <f t="shared" si="0"/>
        <v>2.18574</v>
      </c>
      <c r="G49" s="2">
        <v>1.1000000000000001</v>
      </c>
      <c r="H49" s="107">
        <f t="shared" si="1"/>
        <v>1.2622500000000001</v>
      </c>
      <c r="I49" s="39">
        <f>I50+I51</f>
        <v>10.535657</v>
      </c>
      <c r="J49" s="11"/>
      <c r="K49" s="11"/>
      <c r="L49" s="11"/>
      <c r="M49" s="11"/>
      <c r="N49" s="11"/>
      <c r="O49" s="2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x14ac:dyDescent="0.25">
      <c r="A50" s="2"/>
      <c r="B50" s="2"/>
      <c r="C50" s="2" t="s">
        <v>91</v>
      </c>
      <c r="D50" s="2"/>
      <c r="E50" s="2"/>
      <c r="F50" s="97"/>
      <c r="G50" s="2"/>
      <c r="H50" s="94"/>
      <c r="I50" s="3">
        <f>I29</f>
        <v>2.7526570000000001</v>
      </c>
      <c r="J50" s="11"/>
      <c r="K50" s="11"/>
      <c r="L50" s="11"/>
      <c r="M50" s="11">
        <f>I50</f>
        <v>2.7526570000000001</v>
      </c>
      <c r="N50" s="11"/>
      <c r="O50" s="21" t="s">
        <v>36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x14ac:dyDescent="0.25">
      <c r="A51" s="29"/>
      <c r="B51" s="29"/>
      <c r="C51" s="29" t="s">
        <v>92</v>
      </c>
      <c r="D51" s="29"/>
      <c r="E51" s="29"/>
      <c r="F51" s="104"/>
      <c r="G51" s="29"/>
      <c r="H51" s="106"/>
      <c r="I51" s="30">
        <v>7.7830000000000004</v>
      </c>
      <c r="J51" s="31">
        <f>I51</f>
        <v>7.7830000000000004</v>
      </c>
      <c r="K51" s="31"/>
      <c r="L51" s="31"/>
      <c r="M51" s="31"/>
      <c r="N51" s="31"/>
      <c r="O51" s="29" t="s">
        <v>93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ht="15.75" x14ac:dyDescent="0.25">
      <c r="A52" s="2" t="s">
        <v>94</v>
      </c>
      <c r="B52" s="2" t="s">
        <v>95</v>
      </c>
      <c r="C52" s="2" t="s">
        <v>96</v>
      </c>
      <c r="D52" s="2"/>
      <c r="E52" s="2">
        <v>3</v>
      </c>
      <c r="F52" s="105">
        <f t="shared" si="0"/>
        <v>3.6429</v>
      </c>
      <c r="G52" s="2">
        <v>59.6</v>
      </c>
      <c r="H52" s="107">
        <f t="shared" si="1"/>
        <v>68.391000000000005</v>
      </c>
      <c r="I52" s="8">
        <f>SUM(I53:I56)</f>
        <v>21.232862000000001</v>
      </c>
      <c r="J52" s="11"/>
      <c r="K52" s="11"/>
      <c r="L52" s="11"/>
      <c r="M52" s="11"/>
      <c r="N52" s="1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x14ac:dyDescent="0.25">
      <c r="A53" s="2"/>
      <c r="B53" s="2"/>
      <c r="C53" s="2" t="s">
        <v>97</v>
      </c>
      <c r="D53" s="2"/>
      <c r="E53" s="2"/>
      <c r="F53" s="97"/>
      <c r="G53" s="2"/>
      <c r="H53" s="94"/>
      <c r="I53" s="3">
        <v>16.514250000000001</v>
      </c>
      <c r="J53" s="11"/>
      <c r="K53" s="11"/>
      <c r="L53" s="3">
        <v>16.514250000000001</v>
      </c>
      <c r="M53" s="11"/>
      <c r="N53" s="11"/>
      <c r="O53" s="2" t="s">
        <v>98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x14ac:dyDescent="0.25">
      <c r="A54" s="2"/>
      <c r="B54" s="2"/>
      <c r="C54" s="2" t="s">
        <v>99</v>
      </c>
      <c r="D54" s="2"/>
      <c r="E54" s="2"/>
      <c r="F54" s="97"/>
      <c r="G54" s="2"/>
      <c r="H54" s="94"/>
      <c r="I54" s="3">
        <v>4.0060000000000002</v>
      </c>
      <c r="J54" s="3">
        <v>4.0060000000000002</v>
      </c>
      <c r="K54" s="11"/>
      <c r="L54" s="11"/>
      <c r="M54" s="11"/>
      <c r="N54" s="11"/>
      <c r="O54" s="2" t="s">
        <v>100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x14ac:dyDescent="0.25">
      <c r="A55" s="2"/>
      <c r="B55" s="2"/>
      <c r="C55" s="2" t="s">
        <v>101</v>
      </c>
      <c r="D55" s="2"/>
      <c r="E55" s="2"/>
      <c r="F55" s="97"/>
      <c r="G55" s="2"/>
      <c r="H55" s="94"/>
      <c r="I55" s="3">
        <v>2.9621999999999999E-2</v>
      </c>
      <c r="J55" s="3">
        <v>2.9621999999999999E-2</v>
      </c>
      <c r="K55" s="11"/>
      <c r="L55" s="11"/>
      <c r="M55" s="11"/>
      <c r="N55" s="11"/>
      <c r="O55" s="2" t="s">
        <v>102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x14ac:dyDescent="0.25">
      <c r="A56" s="29"/>
      <c r="B56" s="29"/>
      <c r="C56" s="29" t="s">
        <v>103</v>
      </c>
      <c r="D56" s="29"/>
      <c r="E56" s="29"/>
      <c r="F56" s="100"/>
      <c r="G56" s="29"/>
      <c r="H56" s="102"/>
      <c r="I56" s="30">
        <v>0.68298999999999999</v>
      </c>
      <c r="J56" s="30">
        <v>0.68298999999999999</v>
      </c>
      <c r="K56" s="31"/>
      <c r="L56" s="31"/>
      <c r="M56" s="31"/>
      <c r="N56" s="31"/>
      <c r="O56" s="42" t="s">
        <v>104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</row>
    <row r="57" spans="1:28" ht="15.75" x14ac:dyDescent="0.25">
      <c r="A57" s="2" t="s">
        <v>105</v>
      </c>
      <c r="B57" s="43" t="s">
        <v>106</v>
      </c>
      <c r="C57" s="2" t="s">
        <v>107</v>
      </c>
      <c r="D57" s="2"/>
      <c r="E57" s="2">
        <v>0.8</v>
      </c>
      <c r="F57" s="101">
        <f t="shared" si="0"/>
        <v>0.97143999999999997</v>
      </c>
      <c r="G57" s="2">
        <v>1</v>
      </c>
      <c r="H57" s="103">
        <f t="shared" si="1"/>
        <v>1.1475</v>
      </c>
      <c r="I57" s="39">
        <f>I58+I59</f>
        <v>2.520197</v>
      </c>
      <c r="J57" s="11"/>
      <c r="K57" s="11"/>
      <c r="L57" s="11"/>
      <c r="M57" s="11"/>
      <c r="N57" s="1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x14ac:dyDescent="0.25">
      <c r="A58" s="2"/>
      <c r="B58" s="43"/>
      <c r="C58" s="2" t="s">
        <v>108</v>
      </c>
      <c r="D58" s="2"/>
      <c r="E58" s="2"/>
      <c r="F58" s="97"/>
      <c r="G58" s="2"/>
      <c r="H58" s="94"/>
      <c r="I58" s="3">
        <v>0.20352899999999999</v>
      </c>
      <c r="J58" s="11"/>
      <c r="K58" s="11"/>
      <c r="L58" s="11"/>
      <c r="M58" s="11"/>
      <c r="N58" s="3">
        <v>0.20352899999999999</v>
      </c>
      <c r="O58" s="2" t="s">
        <v>109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x14ac:dyDescent="0.25">
      <c r="A59" s="29"/>
      <c r="B59" s="29"/>
      <c r="C59" s="33" t="s">
        <v>110</v>
      </c>
      <c r="D59" s="33"/>
      <c r="E59" s="33"/>
      <c r="F59" s="100"/>
      <c r="G59" s="29"/>
      <c r="H59" s="102"/>
      <c r="I59" s="30">
        <v>2.3166679999999999</v>
      </c>
      <c r="J59" s="31"/>
      <c r="K59" s="31"/>
      <c r="L59" s="31"/>
      <c r="M59" s="31"/>
      <c r="N59" s="30">
        <v>2.3166679999999999</v>
      </c>
      <c r="O59" s="29" t="s">
        <v>109</v>
      </c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8" ht="15.75" x14ac:dyDescent="0.25">
      <c r="A60" s="2" t="s">
        <v>111</v>
      </c>
      <c r="B60" s="2" t="s">
        <v>112</v>
      </c>
      <c r="C60" s="2" t="s">
        <v>113</v>
      </c>
      <c r="D60" s="2"/>
      <c r="E60" s="2">
        <v>5.8</v>
      </c>
      <c r="F60" s="101">
        <f t="shared" si="0"/>
        <v>7.0429399999999998</v>
      </c>
      <c r="G60" s="2">
        <v>2.2000000000000002</v>
      </c>
      <c r="H60" s="108">
        <f t="shared" si="1"/>
        <v>2.5245000000000002</v>
      </c>
      <c r="I60" s="39">
        <f>SUM(I61:I63)</f>
        <v>14.493649</v>
      </c>
      <c r="J60" s="11"/>
      <c r="K60" s="11"/>
      <c r="L60" s="11"/>
      <c r="M60" s="11"/>
      <c r="N60" s="1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x14ac:dyDescent="0.25">
      <c r="A61" s="2"/>
      <c r="B61" s="2"/>
      <c r="C61" s="2" t="s">
        <v>114</v>
      </c>
      <c r="D61" s="2"/>
      <c r="E61" s="2"/>
      <c r="F61" s="97"/>
      <c r="G61" s="2"/>
      <c r="H61" s="103"/>
      <c r="I61" s="3">
        <v>11.41</v>
      </c>
      <c r="J61" s="3">
        <v>11.41</v>
      </c>
      <c r="K61" s="11"/>
      <c r="L61" s="11"/>
      <c r="M61" s="11"/>
      <c r="N61" s="11"/>
      <c r="O61" s="2" t="s">
        <v>115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x14ac:dyDescent="0.25">
      <c r="A62" s="2"/>
      <c r="B62" s="2"/>
      <c r="C62" s="2" t="s">
        <v>116</v>
      </c>
      <c r="D62" s="2"/>
      <c r="E62" s="2"/>
      <c r="F62" s="97"/>
      <c r="G62" s="2"/>
      <c r="H62" s="94"/>
      <c r="I62" s="3">
        <v>1.9534879999999999</v>
      </c>
      <c r="J62" s="11">
        <v>1.2522059999999999</v>
      </c>
      <c r="K62" s="11"/>
      <c r="L62" s="11"/>
      <c r="M62" s="11"/>
      <c r="N62" s="3">
        <v>0.70128199999999996</v>
      </c>
      <c r="O62" s="13" t="s">
        <v>117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x14ac:dyDescent="0.25">
      <c r="A63" s="29"/>
      <c r="B63" s="29"/>
      <c r="C63" s="29" t="s">
        <v>118</v>
      </c>
      <c r="D63" s="29"/>
      <c r="E63" s="29"/>
      <c r="F63" s="100"/>
      <c r="G63" s="29"/>
      <c r="H63" s="102"/>
      <c r="I63" s="30">
        <v>1.130161</v>
      </c>
      <c r="J63" s="31">
        <v>0.79405099999999995</v>
      </c>
      <c r="K63" s="31"/>
      <c r="L63" s="31"/>
      <c r="M63" s="31"/>
      <c r="N63" s="30">
        <v>0.33611000000000002</v>
      </c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</row>
    <row r="64" spans="1:28" ht="15.75" x14ac:dyDescent="0.25">
      <c r="A64" s="17" t="s">
        <v>119</v>
      </c>
      <c r="B64" s="44" t="s">
        <v>120</v>
      </c>
      <c r="C64" s="17" t="s">
        <v>121</v>
      </c>
      <c r="D64" s="17"/>
      <c r="E64" s="17">
        <v>217</v>
      </c>
      <c r="F64" s="101">
        <f t="shared" si="0"/>
        <v>263.50309999999996</v>
      </c>
      <c r="G64" s="17">
        <v>165.4</v>
      </c>
      <c r="H64" s="103">
        <f t="shared" si="1"/>
        <v>189.79650000000001</v>
      </c>
      <c r="I64" s="45">
        <f>SUM(I65:I70)</f>
        <v>159.94</v>
      </c>
      <c r="J64" s="46"/>
      <c r="K64" s="46"/>
      <c r="L64" s="46"/>
      <c r="M64" s="46"/>
      <c r="N64" s="46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5.75" x14ac:dyDescent="0.25">
      <c r="A65" s="47"/>
      <c r="B65" s="47" t="s">
        <v>122</v>
      </c>
      <c r="C65" s="24" t="s">
        <v>123</v>
      </c>
      <c r="D65" s="24"/>
      <c r="E65" s="24"/>
      <c r="F65" s="97"/>
      <c r="G65" s="24"/>
      <c r="H65" s="94"/>
      <c r="I65" s="36">
        <f>590*0.15</f>
        <v>88.5</v>
      </c>
      <c r="J65" s="35"/>
      <c r="K65" s="35">
        <f>I65</f>
        <v>88.5</v>
      </c>
      <c r="L65" s="35"/>
      <c r="M65" s="35"/>
      <c r="N65" s="35"/>
      <c r="O65" s="47" t="s">
        <v>124</v>
      </c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</row>
    <row r="66" spans="1:28" ht="15.75" x14ac:dyDescent="0.25">
      <c r="A66" s="24"/>
      <c r="B66" s="24"/>
      <c r="C66" s="47" t="s">
        <v>125</v>
      </c>
      <c r="D66" s="24"/>
      <c r="E66" s="24"/>
      <c r="F66" s="97"/>
      <c r="G66" s="24"/>
      <c r="H66" s="94"/>
      <c r="I66" s="36">
        <v>1.5</v>
      </c>
      <c r="J66" s="35">
        <f>I66</f>
        <v>1.5</v>
      </c>
      <c r="K66" s="35"/>
      <c r="L66" s="35"/>
      <c r="M66" s="35"/>
      <c r="N66" s="35"/>
      <c r="O66" s="24" t="s">
        <v>126</v>
      </c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1:28" ht="15.75" x14ac:dyDescent="0.25">
      <c r="A67" s="24"/>
      <c r="B67" s="24"/>
      <c r="C67" s="47" t="s">
        <v>127</v>
      </c>
      <c r="D67" s="24"/>
      <c r="E67" s="24"/>
      <c r="F67" s="97"/>
      <c r="G67" s="24"/>
      <c r="H67" s="94"/>
      <c r="I67" s="36">
        <v>3</v>
      </c>
      <c r="J67" s="35">
        <f>I67</f>
        <v>3</v>
      </c>
      <c r="K67" s="35"/>
      <c r="L67" s="35"/>
      <c r="M67" s="35"/>
      <c r="N67" s="35"/>
      <c r="O67" s="24" t="s">
        <v>126</v>
      </c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:28" ht="15.75" x14ac:dyDescent="0.25">
      <c r="A68" s="24"/>
      <c r="B68" s="24"/>
      <c r="C68" s="47" t="s">
        <v>128</v>
      </c>
      <c r="D68" s="24"/>
      <c r="E68" s="24"/>
      <c r="F68" s="97"/>
      <c r="G68" s="24"/>
      <c r="H68" s="94"/>
      <c r="I68" s="36">
        <v>3.8</v>
      </c>
      <c r="J68" s="35">
        <f>I68</f>
        <v>3.8</v>
      </c>
      <c r="K68" s="35"/>
      <c r="L68" s="35"/>
      <c r="M68" s="35"/>
      <c r="N68" s="35"/>
      <c r="O68" s="24" t="s">
        <v>126</v>
      </c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:28" ht="15.75" x14ac:dyDescent="0.25">
      <c r="A69" s="24"/>
      <c r="B69" s="24"/>
      <c r="C69" s="47" t="s">
        <v>129</v>
      </c>
      <c r="D69" s="24"/>
      <c r="E69" s="24"/>
      <c r="F69" s="97"/>
      <c r="G69" s="24"/>
      <c r="H69" s="94"/>
      <c r="I69" s="36">
        <v>0.5</v>
      </c>
      <c r="J69" s="35">
        <f>I69</f>
        <v>0.5</v>
      </c>
      <c r="K69" s="35"/>
      <c r="L69" s="35"/>
      <c r="M69" s="35"/>
      <c r="N69" s="35"/>
      <c r="O69" s="24" t="s">
        <v>126</v>
      </c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:28" ht="15.75" x14ac:dyDescent="0.25">
      <c r="A70" s="29"/>
      <c r="B70" s="29"/>
      <c r="C70" s="48" t="s">
        <v>130</v>
      </c>
      <c r="D70" s="29"/>
      <c r="E70" s="29"/>
      <c r="F70" s="100"/>
      <c r="G70" s="29"/>
      <c r="H70" s="102"/>
      <c r="I70" s="49">
        <f>20.88*3</f>
        <v>62.64</v>
      </c>
      <c r="J70" s="31"/>
      <c r="K70" s="31"/>
      <c r="L70" s="31"/>
      <c r="M70" s="31">
        <f>I70</f>
        <v>62.64</v>
      </c>
      <c r="N70" s="31"/>
      <c r="O70" s="29" t="s">
        <v>131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</row>
    <row r="71" spans="1:28" ht="15.75" x14ac:dyDescent="0.25">
      <c r="A71" s="2" t="s">
        <v>132</v>
      </c>
      <c r="B71" s="2" t="s">
        <v>133</v>
      </c>
      <c r="C71" s="2" t="s">
        <v>134</v>
      </c>
      <c r="D71" s="2"/>
      <c r="E71" s="2">
        <v>6.7</v>
      </c>
      <c r="F71" s="101">
        <f t="shared" ref="F71:F131" si="3">E71*1.2143</f>
        <v>8.1358099999999993</v>
      </c>
      <c r="G71" s="2">
        <v>10.6</v>
      </c>
      <c r="H71" s="103">
        <f t="shared" ref="H71:H131" si="4">G71*1.1475</f>
        <v>12.163499999999999</v>
      </c>
      <c r="I71" s="39">
        <v>19</v>
      </c>
      <c r="J71" s="11"/>
      <c r="K71" s="11"/>
      <c r="L71" s="11"/>
      <c r="M71" s="11"/>
      <c r="N71" s="1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x14ac:dyDescent="0.25">
      <c r="A72" s="29"/>
      <c r="B72" s="29"/>
      <c r="C72" s="48"/>
      <c r="D72" s="48"/>
      <c r="E72" s="29"/>
      <c r="F72" s="104"/>
      <c r="G72" s="29"/>
      <c r="H72" s="106"/>
      <c r="I72" s="38"/>
      <c r="J72" s="50"/>
      <c r="K72" s="50"/>
      <c r="L72" s="50"/>
      <c r="M72" s="39">
        <v>19</v>
      </c>
      <c r="N72" s="50"/>
      <c r="O72" s="29" t="s">
        <v>42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</row>
    <row r="73" spans="1:28" ht="15.75" x14ac:dyDescent="0.25">
      <c r="A73" s="2" t="s">
        <v>135</v>
      </c>
      <c r="B73" s="2" t="s">
        <v>136</v>
      </c>
      <c r="C73" s="2" t="s">
        <v>137</v>
      </c>
      <c r="D73" s="2"/>
      <c r="E73" s="2">
        <v>15.4</v>
      </c>
      <c r="F73" s="105">
        <f t="shared" si="3"/>
        <v>18.700219999999998</v>
      </c>
      <c r="G73" s="2">
        <v>15.7</v>
      </c>
      <c r="H73" s="107">
        <f t="shared" si="4"/>
        <v>18.015749999999997</v>
      </c>
      <c r="I73" s="39">
        <f>SUM(I74:I76)</f>
        <v>8.1853249999999989</v>
      </c>
      <c r="J73" s="11"/>
      <c r="K73" s="11"/>
      <c r="L73" s="11"/>
      <c r="M73" s="11"/>
      <c r="N73" s="1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x14ac:dyDescent="0.25">
      <c r="A74" s="2"/>
      <c r="B74" s="2"/>
      <c r="C74" s="2" t="s">
        <v>138</v>
      </c>
      <c r="D74" s="2"/>
      <c r="E74" s="2"/>
      <c r="F74" s="97"/>
      <c r="G74" s="2"/>
      <c r="H74" s="94"/>
      <c r="I74" s="3">
        <v>5.4269999999999996</v>
      </c>
      <c r="J74" s="11"/>
      <c r="K74" s="11"/>
      <c r="L74" s="11"/>
      <c r="M74" s="11"/>
      <c r="N74" s="11">
        <f>I74</f>
        <v>5.4269999999999996</v>
      </c>
      <c r="O74" s="2" t="s">
        <v>139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x14ac:dyDescent="0.25">
      <c r="A75" s="2"/>
      <c r="B75" s="2"/>
      <c r="C75" s="2" t="s">
        <v>140</v>
      </c>
      <c r="D75" s="2"/>
      <c r="E75" s="2"/>
      <c r="F75" s="97"/>
      <c r="G75" s="2"/>
      <c r="H75" s="94"/>
      <c r="I75" s="3">
        <v>2.4013249999999999</v>
      </c>
      <c r="J75" s="11"/>
      <c r="K75" s="11"/>
      <c r="L75" s="11"/>
      <c r="M75" s="11"/>
      <c r="N75" s="11">
        <f>I75</f>
        <v>2.4013249999999999</v>
      </c>
      <c r="O75" s="2" t="s">
        <v>141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x14ac:dyDescent="0.25">
      <c r="A76" s="29"/>
      <c r="B76" s="29"/>
      <c r="C76" s="29" t="s">
        <v>142</v>
      </c>
      <c r="D76" s="29"/>
      <c r="E76" s="29"/>
      <c r="F76" s="104"/>
      <c r="G76" s="29"/>
      <c r="H76" s="106"/>
      <c r="I76" s="30">
        <v>0.35699999999999998</v>
      </c>
      <c r="J76" s="31"/>
      <c r="K76" s="31"/>
      <c r="L76" s="31"/>
      <c r="M76" s="31"/>
      <c r="N76" s="31">
        <f>I76</f>
        <v>0.35699999999999998</v>
      </c>
      <c r="O76" s="29" t="s">
        <v>143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</row>
    <row r="77" spans="1:28" ht="15.75" x14ac:dyDescent="0.25">
      <c r="A77" s="13" t="s">
        <v>144</v>
      </c>
      <c r="B77" s="13" t="s">
        <v>145</v>
      </c>
      <c r="C77" s="13" t="s">
        <v>146</v>
      </c>
      <c r="D77" s="13"/>
      <c r="E77" s="13">
        <v>60.4</v>
      </c>
      <c r="F77" s="105">
        <f t="shared" si="3"/>
        <v>73.34371999999999</v>
      </c>
      <c r="G77" s="13">
        <v>75</v>
      </c>
      <c r="H77" s="107">
        <f t="shared" si="4"/>
        <v>86.0625</v>
      </c>
      <c r="I77" s="51">
        <f>SUM(I78:I83)</f>
        <v>66.999301000000003</v>
      </c>
      <c r="J77" s="15"/>
      <c r="K77" s="15"/>
      <c r="L77" s="15"/>
      <c r="M77" s="15"/>
      <c r="N77" s="15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 ht="15.75" x14ac:dyDescent="0.25">
      <c r="A78" s="2"/>
      <c r="B78" s="2"/>
      <c r="C78" s="2" t="s">
        <v>147</v>
      </c>
      <c r="D78" s="2"/>
      <c r="E78" s="2"/>
      <c r="F78" s="97"/>
      <c r="G78" s="2"/>
      <c r="H78" s="94"/>
      <c r="I78" s="3">
        <v>0.186</v>
      </c>
      <c r="J78" s="11">
        <f>I78</f>
        <v>0.186</v>
      </c>
      <c r="K78" s="11"/>
      <c r="L78" s="11"/>
      <c r="M78" s="11"/>
      <c r="N78" s="11"/>
      <c r="O78" s="13" t="s">
        <v>19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x14ac:dyDescent="0.25">
      <c r="A79" s="2"/>
      <c r="B79" s="2"/>
      <c r="C79" s="2" t="s">
        <v>148</v>
      </c>
      <c r="D79" s="2"/>
      <c r="E79" s="2"/>
      <c r="F79" s="97"/>
      <c r="G79" s="2"/>
      <c r="H79" s="94"/>
      <c r="I79" s="3">
        <v>0.20499999999999999</v>
      </c>
      <c r="J79" s="11">
        <f>I79</f>
        <v>0.20499999999999999</v>
      </c>
      <c r="K79" s="11"/>
      <c r="L79" s="11"/>
      <c r="M79" s="11"/>
      <c r="N79" s="11"/>
      <c r="O79" s="13" t="s">
        <v>19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x14ac:dyDescent="0.25">
      <c r="A80" s="2"/>
      <c r="B80" s="2"/>
      <c r="C80" s="2" t="s">
        <v>149</v>
      </c>
      <c r="D80" s="2"/>
      <c r="E80" s="2"/>
      <c r="F80" s="97"/>
      <c r="G80" s="2"/>
      <c r="H80" s="94"/>
      <c r="I80" s="3">
        <v>1.608301</v>
      </c>
      <c r="J80" s="11"/>
      <c r="K80" s="11"/>
      <c r="L80" s="11"/>
      <c r="M80" s="11"/>
      <c r="N80" s="11">
        <f>I80</f>
        <v>1.608301</v>
      </c>
      <c r="O80" s="2" t="s">
        <v>150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x14ac:dyDescent="0.25">
      <c r="A81" s="2"/>
      <c r="B81" s="2"/>
      <c r="C81" s="2" t="s">
        <v>151</v>
      </c>
      <c r="D81" s="2"/>
      <c r="E81" s="2"/>
      <c r="F81" s="97"/>
      <c r="G81" s="2"/>
      <c r="H81" s="94"/>
      <c r="I81" s="3">
        <v>27.5</v>
      </c>
      <c r="J81" s="11"/>
      <c r="K81" s="11"/>
      <c r="L81" s="11"/>
      <c r="M81" s="11">
        <f>I81</f>
        <v>27.5</v>
      </c>
      <c r="N81" s="11"/>
      <c r="O81" s="24" t="s">
        <v>42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x14ac:dyDescent="0.25">
      <c r="A82" s="24"/>
      <c r="B82" s="24"/>
      <c r="C82" s="24" t="s">
        <v>152</v>
      </c>
      <c r="D82" s="24"/>
      <c r="E82" s="24"/>
      <c r="F82" s="97"/>
      <c r="G82" s="24"/>
      <c r="H82" s="94"/>
      <c r="I82" s="37">
        <v>26.8</v>
      </c>
      <c r="J82" s="35"/>
      <c r="K82" s="35"/>
      <c r="L82" s="35"/>
      <c r="M82" s="11">
        <f>I82</f>
        <v>26.8</v>
      </c>
      <c r="N82" s="35"/>
      <c r="O82" s="24" t="s">
        <v>42</v>
      </c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ht="15.75" x14ac:dyDescent="0.25">
      <c r="A83" s="29"/>
      <c r="B83" s="29"/>
      <c r="C83" s="16" t="s">
        <v>153</v>
      </c>
      <c r="D83" s="29"/>
      <c r="E83" s="29"/>
      <c r="F83" s="104"/>
      <c r="G83" s="29"/>
      <c r="H83" s="106"/>
      <c r="I83" s="27">
        <v>10.7</v>
      </c>
      <c r="J83" s="28">
        <f>I83</f>
        <v>10.7</v>
      </c>
      <c r="K83" s="31"/>
      <c r="L83" s="31"/>
      <c r="M83" s="31"/>
      <c r="N83" s="31"/>
      <c r="O83" s="16" t="s">
        <v>154</v>
      </c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</row>
    <row r="84" spans="1:28" ht="15.75" x14ac:dyDescent="0.25">
      <c r="A84" s="2" t="s">
        <v>155</v>
      </c>
      <c r="B84" s="2" t="s">
        <v>156</v>
      </c>
      <c r="C84" s="2" t="s">
        <v>157</v>
      </c>
      <c r="D84" s="2"/>
      <c r="E84" s="2">
        <v>3</v>
      </c>
      <c r="F84" s="105">
        <f t="shared" si="3"/>
        <v>3.6429</v>
      </c>
      <c r="G84" s="2">
        <v>1.8</v>
      </c>
      <c r="H84" s="107">
        <f t="shared" si="4"/>
        <v>2.0655000000000001</v>
      </c>
      <c r="I84" s="39">
        <f>I85</f>
        <v>0.7</v>
      </c>
      <c r="J84" s="11"/>
      <c r="K84" s="11"/>
      <c r="L84" s="11"/>
      <c r="M84" s="11"/>
      <c r="N84" s="1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x14ac:dyDescent="0.25">
      <c r="A85" s="29"/>
      <c r="B85" s="29"/>
      <c r="C85" s="29" t="s">
        <v>158</v>
      </c>
      <c r="D85" s="29"/>
      <c r="E85" s="29"/>
      <c r="F85" s="104"/>
      <c r="G85" s="29"/>
      <c r="H85" s="106"/>
      <c r="I85" s="30">
        <v>0.7</v>
      </c>
      <c r="J85" s="31"/>
      <c r="K85" s="31"/>
      <c r="L85" s="31"/>
      <c r="M85" s="31"/>
      <c r="N85" s="30">
        <v>0.7</v>
      </c>
      <c r="O85" s="29" t="s">
        <v>159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</row>
    <row r="86" spans="1:28" ht="15.75" x14ac:dyDescent="0.25">
      <c r="A86" s="2" t="s">
        <v>160</v>
      </c>
      <c r="B86" s="2" t="s">
        <v>161</v>
      </c>
      <c r="C86" s="2" t="s">
        <v>162</v>
      </c>
      <c r="D86" s="2"/>
      <c r="E86" s="2">
        <v>35.4</v>
      </c>
      <c r="F86" s="105">
        <f t="shared" si="3"/>
        <v>42.986219999999996</v>
      </c>
      <c r="G86" s="2">
        <v>44.9</v>
      </c>
      <c r="H86" s="107">
        <f t="shared" si="4"/>
        <v>51.522749999999995</v>
      </c>
      <c r="I86" s="52">
        <f>SUM(I87:I93)</f>
        <v>107.33259699999999</v>
      </c>
      <c r="J86" s="53"/>
      <c r="K86" s="53"/>
      <c r="L86" s="53"/>
      <c r="M86" s="53"/>
      <c r="N86" s="53"/>
      <c r="O86" s="25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x14ac:dyDescent="0.25">
      <c r="A87" s="2"/>
      <c r="B87" s="2"/>
      <c r="C87" s="2" t="s">
        <v>163</v>
      </c>
      <c r="D87" s="2"/>
      <c r="E87" s="2"/>
      <c r="F87" s="97"/>
      <c r="G87" s="2"/>
      <c r="H87" s="94"/>
      <c r="I87" s="54">
        <v>97.891199999999998</v>
      </c>
      <c r="J87" s="15">
        <f>I87</f>
        <v>97.891199999999998</v>
      </c>
      <c r="K87" s="55"/>
      <c r="L87" s="55"/>
      <c r="M87" s="55"/>
      <c r="N87" s="55"/>
      <c r="O87" s="21" t="s">
        <v>164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x14ac:dyDescent="0.25">
      <c r="A88" s="2"/>
      <c r="B88" s="2"/>
      <c r="C88" s="2" t="s">
        <v>165</v>
      </c>
      <c r="D88" s="2"/>
      <c r="E88" s="2"/>
      <c r="F88" s="97"/>
      <c r="G88" s="2"/>
      <c r="H88" s="94"/>
      <c r="I88" s="54">
        <v>0.67979999999999996</v>
      </c>
      <c r="J88" s="15">
        <f>I88</f>
        <v>0.67979999999999996</v>
      </c>
      <c r="K88" s="55"/>
      <c r="L88" s="55"/>
      <c r="M88" s="55"/>
      <c r="N88" s="55"/>
      <c r="O88" s="21" t="s">
        <v>164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x14ac:dyDescent="0.25">
      <c r="A89" s="24"/>
      <c r="B89" s="24"/>
      <c r="C89" s="24" t="s">
        <v>166</v>
      </c>
      <c r="D89" s="24"/>
      <c r="E89" s="24"/>
      <c r="F89" s="97"/>
      <c r="G89" s="24"/>
      <c r="H89" s="94"/>
      <c r="I89" s="56">
        <v>3.1930000000000001</v>
      </c>
      <c r="J89" s="23">
        <f>I89</f>
        <v>3.1930000000000001</v>
      </c>
      <c r="K89" s="35"/>
      <c r="L89" s="35"/>
      <c r="M89" s="35"/>
      <c r="N89" s="35"/>
      <c r="O89" s="24" t="s">
        <v>31</v>
      </c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spans="1:28" ht="15.75" x14ac:dyDescent="0.25">
      <c r="A90" s="24"/>
      <c r="B90" s="24"/>
      <c r="C90" s="24" t="s">
        <v>167</v>
      </c>
      <c r="D90" s="24"/>
      <c r="E90" s="24"/>
      <c r="F90" s="97"/>
      <c r="G90" s="24"/>
      <c r="H90" s="94"/>
      <c r="I90" s="56">
        <v>4.524</v>
      </c>
      <c r="J90" s="23"/>
      <c r="K90" s="35"/>
      <c r="L90" s="35"/>
      <c r="M90" s="35"/>
      <c r="N90" s="35">
        <v>4.524</v>
      </c>
      <c r="O90" s="24" t="s">
        <v>168</v>
      </c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 spans="1:28" ht="15.75" x14ac:dyDescent="0.25">
      <c r="A91" s="24"/>
      <c r="B91" s="24"/>
      <c r="C91" s="24" t="s">
        <v>169</v>
      </c>
      <c r="D91" s="24"/>
      <c r="E91" s="24"/>
      <c r="F91" s="97"/>
      <c r="G91" s="24"/>
      <c r="H91" s="94"/>
      <c r="I91" s="56">
        <v>0.23172200000000001</v>
      </c>
      <c r="J91" s="23">
        <f>I91</f>
        <v>0.23172200000000001</v>
      </c>
      <c r="K91" s="35"/>
      <c r="L91" s="35"/>
      <c r="M91" s="35"/>
      <c r="N91" s="35"/>
      <c r="O91" s="24" t="s">
        <v>170</v>
      </c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 spans="1:28" ht="15.75" x14ac:dyDescent="0.25">
      <c r="A92" s="24"/>
      <c r="B92" s="24"/>
      <c r="C92" s="24" t="s">
        <v>171</v>
      </c>
      <c r="D92" s="24"/>
      <c r="E92" s="24"/>
      <c r="F92" s="97"/>
      <c r="G92" s="24"/>
      <c r="H92" s="94"/>
      <c r="I92" s="56">
        <f>34.5*0.25*0.075</f>
        <v>0.64687499999999998</v>
      </c>
      <c r="J92" s="23">
        <f>I92</f>
        <v>0.64687499999999998</v>
      </c>
      <c r="K92" s="35"/>
      <c r="L92" s="35"/>
      <c r="M92" s="35"/>
      <c r="N92" s="35"/>
      <c r="O92" s="21" t="s">
        <v>172</v>
      </c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</row>
    <row r="93" spans="1:28" ht="15.75" x14ac:dyDescent="0.25">
      <c r="A93" s="29"/>
      <c r="B93" s="29"/>
      <c r="C93" s="29" t="s">
        <v>173</v>
      </c>
      <c r="D93" s="29"/>
      <c r="E93" s="29"/>
      <c r="F93" s="104"/>
      <c r="G93" s="29"/>
      <c r="H93" s="106"/>
      <c r="I93" s="57">
        <v>0.16600000000000001</v>
      </c>
      <c r="J93" s="28">
        <v>0.16600000000000001</v>
      </c>
      <c r="K93" s="31"/>
      <c r="L93" s="31"/>
      <c r="M93" s="31"/>
      <c r="N93" s="31"/>
      <c r="O93" s="29" t="s">
        <v>174</v>
      </c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</row>
    <row r="94" spans="1:28" ht="15.75" x14ac:dyDescent="0.25">
      <c r="A94" s="24" t="s">
        <v>175</v>
      </c>
      <c r="B94" s="24" t="s">
        <v>176</v>
      </c>
      <c r="C94" s="24" t="s">
        <v>177</v>
      </c>
      <c r="D94" s="24"/>
      <c r="E94" s="24"/>
      <c r="F94" s="105"/>
      <c r="G94" s="24"/>
      <c r="H94" s="107"/>
      <c r="I94" s="58">
        <f>I95+I96</f>
        <v>21.5</v>
      </c>
      <c r="J94" s="23"/>
      <c r="K94" s="35"/>
      <c r="L94" s="35"/>
      <c r="M94" s="35"/>
      <c r="N94" s="35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</row>
    <row r="95" spans="1:28" ht="15.75" x14ac:dyDescent="0.25">
      <c r="A95" s="24"/>
      <c r="B95" s="24"/>
      <c r="C95" s="24" t="s">
        <v>178</v>
      </c>
      <c r="D95" s="24"/>
      <c r="E95" s="24"/>
      <c r="F95" s="97"/>
      <c r="G95" s="24"/>
      <c r="H95" s="94"/>
      <c r="I95" s="56">
        <v>20</v>
      </c>
      <c r="J95" s="23">
        <v>20</v>
      </c>
      <c r="K95" s="35"/>
      <c r="L95" s="35"/>
      <c r="M95" s="35"/>
      <c r="N95" s="35"/>
      <c r="O95" s="24" t="s">
        <v>31</v>
      </c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ht="15.75" x14ac:dyDescent="0.25">
      <c r="A96" s="24"/>
      <c r="B96" s="24"/>
      <c r="C96" s="24" t="s">
        <v>179</v>
      </c>
      <c r="D96" s="24"/>
      <c r="E96" s="24"/>
      <c r="F96" s="104"/>
      <c r="G96" s="24"/>
      <c r="H96" s="106"/>
      <c r="I96" s="56">
        <v>1.5</v>
      </c>
      <c r="J96" s="23">
        <v>1.5</v>
      </c>
      <c r="K96" s="35"/>
      <c r="L96" s="35"/>
      <c r="M96" s="35"/>
      <c r="N96" s="35"/>
      <c r="O96" s="24" t="s">
        <v>31</v>
      </c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</row>
    <row r="97" spans="1:28" ht="15.75" x14ac:dyDescent="0.25">
      <c r="A97" s="59" t="s">
        <v>180</v>
      </c>
      <c r="B97" s="59" t="s">
        <v>181</v>
      </c>
      <c r="C97" s="59" t="s">
        <v>182</v>
      </c>
      <c r="D97" s="59"/>
      <c r="E97" s="59"/>
      <c r="F97" s="109"/>
      <c r="G97" s="59"/>
      <c r="H97" s="110"/>
      <c r="I97" s="60">
        <v>7.766813</v>
      </c>
      <c r="J97" s="61"/>
      <c r="K97" s="61"/>
      <c r="L97" s="61"/>
      <c r="M97" s="61"/>
      <c r="N97" s="61">
        <v>7.8</v>
      </c>
      <c r="O97" s="59" t="s">
        <v>183</v>
      </c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</row>
    <row r="98" spans="1:28" ht="15.75" x14ac:dyDescent="0.25">
      <c r="A98" s="29" t="s">
        <v>184</v>
      </c>
      <c r="B98" s="29" t="s">
        <v>185</v>
      </c>
      <c r="C98" s="29" t="s">
        <v>186</v>
      </c>
      <c r="D98" s="29"/>
      <c r="E98" s="29"/>
      <c r="F98" s="109"/>
      <c r="G98" s="29"/>
      <c r="H98" s="110"/>
      <c r="I98" s="62">
        <v>7.8E-2</v>
      </c>
      <c r="J98" s="31"/>
      <c r="K98" s="31"/>
      <c r="L98" s="31"/>
      <c r="M98" s="31"/>
      <c r="N98" s="31">
        <f>I98</f>
        <v>7.8E-2</v>
      </c>
      <c r="O98" s="29" t="s">
        <v>187</v>
      </c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</row>
    <row r="99" spans="1:28" ht="15.75" x14ac:dyDescent="0.25">
      <c r="A99" s="59" t="s">
        <v>188</v>
      </c>
      <c r="B99" s="29" t="s">
        <v>189</v>
      </c>
      <c r="C99" s="59" t="s">
        <v>190</v>
      </c>
      <c r="D99" s="59"/>
      <c r="E99" s="59"/>
      <c r="F99" s="109"/>
      <c r="G99" s="59"/>
      <c r="H99" s="110"/>
      <c r="I99" s="63">
        <v>0.48191600000000001</v>
      </c>
      <c r="J99" s="61"/>
      <c r="K99" s="61"/>
      <c r="L99" s="61"/>
      <c r="M99" s="61"/>
      <c r="N99" s="61">
        <f>I99</f>
        <v>0.48191600000000001</v>
      </c>
      <c r="O99" s="59" t="s">
        <v>191</v>
      </c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</row>
    <row r="100" spans="1:28" ht="15.75" x14ac:dyDescent="0.25">
      <c r="A100" s="24"/>
      <c r="B100" s="17"/>
      <c r="C100" s="24"/>
      <c r="D100" s="24"/>
      <c r="E100" s="24"/>
      <c r="F100" s="105"/>
      <c r="G100" s="24"/>
      <c r="H100" s="107"/>
      <c r="I100" s="36"/>
      <c r="J100" s="35"/>
      <c r="K100" s="35"/>
      <c r="L100" s="35"/>
      <c r="M100" s="35"/>
      <c r="N100" s="35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ht="15.75" x14ac:dyDescent="0.25">
      <c r="A101" s="2"/>
      <c r="B101" s="24"/>
      <c r="C101" s="2"/>
      <c r="D101" s="2"/>
      <c r="E101" s="2"/>
      <c r="F101" s="97"/>
      <c r="G101" s="2"/>
      <c r="H101" s="94"/>
      <c r="I101" s="54"/>
      <c r="J101" s="5" t="s">
        <v>4</v>
      </c>
      <c r="K101" s="5" t="s">
        <v>5</v>
      </c>
      <c r="L101" s="5" t="s">
        <v>6</v>
      </c>
      <c r="M101" s="5" t="s">
        <v>7</v>
      </c>
      <c r="N101" s="5" t="s">
        <v>8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x14ac:dyDescent="0.25">
      <c r="A102" s="6" t="s">
        <v>192</v>
      </c>
      <c r="B102" s="6"/>
      <c r="C102" s="6" t="s">
        <v>193</v>
      </c>
      <c r="D102" s="6"/>
      <c r="E102" s="6">
        <f>SUM(E103:E147)</f>
        <v>10049.200000000003</v>
      </c>
      <c r="F102" s="99">
        <f t="shared" si="3"/>
        <v>12202.743560000003</v>
      </c>
      <c r="G102" s="64">
        <f>SUM(G103:G147)</f>
        <v>10079.299999999999</v>
      </c>
      <c r="H102" s="96">
        <f t="shared" si="4"/>
        <v>11565.996749999998</v>
      </c>
      <c r="I102" s="7">
        <f>I103+I104+I114+I119+I120+I121+I122+I123+I124+I127+I128+I133+I134+I135+I141+I142+I143+I144+I145+I147+I148</f>
        <v>9472.1937099999996</v>
      </c>
      <c r="J102" s="65">
        <f>SUM(J103:J148)</f>
        <v>6337.1294470000003</v>
      </c>
      <c r="K102" s="65">
        <f>SUM(K103:K148)</f>
        <v>1291.685937</v>
      </c>
      <c r="L102" s="65">
        <f>SUM(L103:L148)</f>
        <v>1843.3521090000002</v>
      </c>
      <c r="M102" s="65">
        <f>SUM(M103:M148)</f>
        <v>0</v>
      </c>
      <c r="N102" s="65">
        <f>SUM(N103:N148)</f>
        <v>0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x14ac:dyDescent="0.25">
      <c r="A103" s="29" t="s">
        <v>194</v>
      </c>
      <c r="B103" s="29" t="s">
        <v>120</v>
      </c>
      <c r="C103" s="29" t="s">
        <v>195</v>
      </c>
      <c r="D103" s="29"/>
      <c r="E103" s="29">
        <v>25.7</v>
      </c>
      <c r="F103" s="104">
        <f t="shared" si="3"/>
        <v>31.207509999999999</v>
      </c>
      <c r="G103" s="29">
        <v>16.5</v>
      </c>
      <c r="H103" s="106">
        <f t="shared" si="4"/>
        <v>18.93375</v>
      </c>
      <c r="I103" s="66">
        <v>12.4</v>
      </c>
      <c r="J103" s="31">
        <v>12.4</v>
      </c>
      <c r="K103" s="31"/>
      <c r="L103" s="31"/>
      <c r="M103" s="31"/>
      <c r="N103" s="31"/>
      <c r="O103" s="29" t="s">
        <v>126</v>
      </c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</row>
    <row r="104" spans="1:28" ht="15.75" x14ac:dyDescent="0.25">
      <c r="A104" s="2" t="s">
        <v>196</v>
      </c>
      <c r="B104" s="2" t="s">
        <v>197</v>
      </c>
      <c r="C104" s="2" t="s">
        <v>198</v>
      </c>
      <c r="D104" s="2"/>
      <c r="E104" s="2">
        <v>558.29999999999995</v>
      </c>
      <c r="F104" s="105">
        <f t="shared" si="3"/>
        <v>677.94368999999995</v>
      </c>
      <c r="G104" s="2">
        <v>330</v>
      </c>
      <c r="H104" s="107">
        <f t="shared" si="4"/>
        <v>378.67500000000001</v>
      </c>
      <c r="I104" s="39">
        <f>SUM(I105:I113)</f>
        <v>287</v>
      </c>
      <c r="J104" s="11"/>
      <c r="K104" s="11"/>
      <c r="L104" s="11"/>
      <c r="M104" s="11"/>
      <c r="N104" s="11"/>
      <c r="O104" s="3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x14ac:dyDescent="0.25">
      <c r="A105" s="2"/>
      <c r="B105" s="2"/>
      <c r="C105" s="2" t="s">
        <v>199</v>
      </c>
      <c r="D105" s="2"/>
      <c r="E105" s="2"/>
      <c r="F105" s="97"/>
      <c r="G105" s="2"/>
      <c r="H105" s="94"/>
      <c r="I105" s="3">
        <f>2+20</f>
        <v>22</v>
      </c>
      <c r="J105" s="11"/>
      <c r="K105" s="3">
        <v>22</v>
      </c>
      <c r="L105" s="11"/>
      <c r="M105" s="11"/>
      <c r="N105" s="11"/>
      <c r="O105" s="2" t="s">
        <v>200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x14ac:dyDescent="0.25">
      <c r="A106" s="2"/>
      <c r="B106" s="2"/>
      <c r="C106" s="2" t="s">
        <v>201</v>
      </c>
      <c r="D106" s="2"/>
      <c r="E106" s="2"/>
      <c r="F106" s="97"/>
      <c r="G106" s="2"/>
      <c r="H106" s="94"/>
      <c r="I106" s="3">
        <v>16</v>
      </c>
      <c r="J106" s="11"/>
      <c r="K106" s="3">
        <v>16</v>
      </c>
      <c r="L106" s="11"/>
      <c r="M106" s="11"/>
      <c r="N106" s="11"/>
      <c r="O106" s="2" t="s">
        <v>200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x14ac:dyDescent="0.25">
      <c r="A107" s="2"/>
      <c r="B107" s="2"/>
      <c r="C107" s="2" t="s">
        <v>202</v>
      </c>
      <c r="D107" s="67"/>
      <c r="E107" s="2"/>
      <c r="F107" s="97"/>
      <c r="G107" s="2"/>
      <c r="H107" s="94"/>
      <c r="I107" s="3">
        <f>1+2</f>
        <v>3</v>
      </c>
      <c r="J107" s="11"/>
      <c r="K107" s="3"/>
      <c r="L107" s="11">
        <v>3</v>
      </c>
      <c r="M107" s="11"/>
      <c r="N107" s="11"/>
      <c r="O107" s="2" t="s">
        <v>200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x14ac:dyDescent="0.25">
      <c r="A108" s="2"/>
      <c r="B108" s="2"/>
      <c r="C108" s="2" t="s">
        <v>203</v>
      </c>
      <c r="D108" s="2"/>
      <c r="E108" s="2"/>
      <c r="F108" s="97"/>
      <c r="G108" s="2"/>
      <c r="H108" s="94"/>
      <c r="I108" s="3">
        <f>6+47</f>
        <v>53</v>
      </c>
      <c r="J108" s="11"/>
      <c r="K108" s="3">
        <v>53</v>
      </c>
      <c r="L108" s="11"/>
      <c r="M108" s="11"/>
      <c r="N108" s="11"/>
      <c r="O108" s="2" t="s">
        <v>200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x14ac:dyDescent="0.25">
      <c r="A109" s="2"/>
      <c r="B109" s="2"/>
      <c r="C109" s="2" t="s">
        <v>204</v>
      </c>
      <c r="D109" s="2"/>
      <c r="E109" s="2"/>
      <c r="F109" s="97"/>
      <c r="G109" s="2"/>
      <c r="H109" s="94"/>
      <c r="I109" s="3">
        <v>2</v>
      </c>
      <c r="J109" s="11"/>
      <c r="K109" s="3"/>
      <c r="L109" s="11">
        <v>2</v>
      </c>
      <c r="M109" s="11"/>
      <c r="N109" s="11"/>
      <c r="O109" s="2" t="s">
        <v>200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x14ac:dyDescent="0.25">
      <c r="A110" s="2"/>
      <c r="B110" s="2"/>
      <c r="C110" s="2" t="s">
        <v>205</v>
      </c>
      <c r="D110" s="2"/>
      <c r="E110" s="2"/>
      <c r="F110" s="97"/>
      <c r="G110" s="2"/>
      <c r="H110" s="94"/>
      <c r="I110" s="3">
        <v>9</v>
      </c>
      <c r="J110" s="11"/>
      <c r="K110" s="3">
        <v>9</v>
      </c>
      <c r="L110" s="11"/>
      <c r="M110" s="11"/>
      <c r="N110" s="11"/>
      <c r="O110" s="2" t="s">
        <v>200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x14ac:dyDescent="0.25">
      <c r="A111" s="2"/>
      <c r="B111" s="2"/>
      <c r="C111" s="2" t="s">
        <v>206</v>
      </c>
      <c r="D111" s="2"/>
      <c r="E111" s="2"/>
      <c r="F111" s="97"/>
      <c r="G111" s="2"/>
      <c r="H111" s="94"/>
      <c r="I111" s="3">
        <v>157</v>
      </c>
      <c r="J111" s="3">
        <v>157</v>
      </c>
      <c r="K111" s="11"/>
      <c r="L111" s="11"/>
      <c r="M111" s="11"/>
      <c r="N111" s="11"/>
      <c r="O111" s="2" t="s">
        <v>200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x14ac:dyDescent="0.25">
      <c r="A112" s="2"/>
      <c r="B112" s="2"/>
      <c r="C112" s="2" t="s">
        <v>207</v>
      </c>
      <c r="D112" s="2"/>
      <c r="E112" s="2"/>
      <c r="F112" s="97"/>
      <c r="G112" s="2"/>
      <c r="H112" s="94"/>
      <c r="I112" s="3">
        <v>14</v>
      </c>
      <c r="J112" s="3">
        <v>14</v>
      </c>
      <c r="K112" s="11"/>
      <c r="L112" s="11"/>
      <c r="M112" s="11"/>
      <c r="N112" s="11"/>
      <c r="O112" s="2" t="s">
        <v>200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x14ac:dyDescent="0.25">
      <c r="A113" s="29"/>
      <c r="B113" s="29"/>
      <c r="C113" s="29" t="s">
        <v>208</v>
      </c>
      <c r="D113" s="29"/>
      <c r="E113" s="29"/>
      <c r="F113" s="104"/>
      <c r="G113" s="29"/>
      <c r="H113" s="106"/>
      <c r="I113" s="30">
        <v>11</v>
      </c>
      <c r="J113" s="30">
        <v>11</v>
      </c>
      <c r="K113" s="31"/>
      <c r="L113" s="31"/>
      <c r="M113" s="31"/>
      <c r="N113" s="31"/>
      <c r="O113" s="2" t="s">
        <v>200</v>
      </c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</row>
    <row r="114" spans="1:28" ht="15.75" x14ac:dyDescent="0.25">
      <c r="A114" s="2" t="s">
        <v>209</v>
      </c>
      <c r="B114" s="2" t="s">
        <v>210</v>
      </c>
      <c r="C114" s="2" t="s">
        <v>211</v>
      </c>
      <c r="D114" s="2"/>
      <c r="E114" s="2">
        <v>1598.4</v>
      </c>
      <c r="F114" s="105">
        <f t="shared" si="3"/>
        <v>1940.93712</v>
      </c>
      <c r="G114" s="68">
        <v>1810</v>
      </c>
      <c r="H114" s="107">
        <f t="shared" si="4"/>
        <v>2076.9749999999999</v>
      </c>
      <c r="I114" s="8">
        <f>SUM(I115:I118)</f>
        <v>1385.5</v>
      </c>
      <c r="J114" s="10"/>
      <c r="K114" s="10"/>
      <c r="L114" s="10"/>
      <c r="M114" s="10"/>
      <c r="N114" s="10"/>
      <c r="O114" s="17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x14ac:dyDescent="0.25">
      <c r="A115" s="2"/>
      <c r="B115" s="2"/>
      <c r="C115" s="2" t="s">
        <v>212</v>
      </c>
      <c r="D115" s="2"/>
      <c r="E115" s="2"/>
      <c r="F115" s="97"/>
      <c r="G115" s="68"/>
      <c r="H115" s="94"/>
      <c r="I115" s="3">
        <v>10.4</v>
      </c>
      <c r="J115" s="11">
        <f>I115</f>
        <v>10.4</v>
      </c>
      <c r="K115" s="11"/>
      <c r="L115" s="11"/>
      <c r="M115" s="11"/>
      <c r="N115" s="11"/>
      <c r="O115" s="2" t="s">
        <v>213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x14ac:dyDescent="0.25">
      <c r="A116" s="2"/>
      <c r="B116" s="2"/>
      <c r="C116" s="2" t="s">
        <v>214</v>
      </c>
      <c r="D116" s="2"/>
      <c r="E116" s="2"/>
      <c r="F116" s="97"/>
      <c r="G116" s="68"/>
      <c r="H116" s="94"/>
      <c r="I116" s="3">
        <v>344</v>
      </c>
      <c r="J116" s="11"/>
      <c r="K116" s="11"/>
      <c r="L116" s="11">
        <f>I116</f>
        <v>344</v>
      </c>
      <c r="M116" s="11"/>
      <c r="N116" s="11"/>
      <c r="O116" s="2" t="s">
        <v>215</v>
      </c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x14ac:dyDescent="0.25">
      <c r="A117" s="24"/>
      <c r="B117" s="24"/>
      <c r="C117" s="24" t="s">
        <v>216</v>
      </c>
      <c r="D117" s="24"/>
      <c r="E117" s="24"/>
      <c r="F117" s="97"/>
      <c r="G117" s="69"/>
      <c r="H117" s="94"/>
      <c r="I117" s="37">
        <v>1026</v>
      </c>
      <c r="J117" s="35"/>
      <c r="K117" s="35">
        <f>I117</f>
        <v>1026</v>
      </c>
      <c r="L117" s="35"/>
      <c r="M117" s="35"/>
      <c r="N117" s="35"/>
      <c r="O117" s="24" t="s">
        <v>217</v>
      </c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</row>
    <row r="118" spans="1:28" ht="15.75" x14ac:dyDescent="0.25">
      <c r="A118" s="29"/>
      <c r="B118" s="29"/>
      <c r="C118" s="29" t="s">
        <v>218</v>
      </c>
      <c r="D118" s="29"/>
      <c r="E118" s="29"/>
      <c r="F118" s="97"/>
      <c r="G118" s="70"/>
      <c r="H118" s="94"/>
      <c r="I118" s="30">
        <v>5.0999999999999996</v>
      </c>
      <c r="J118" s="31">
        <v>5.0999999999999996</v>
      </c>
      <c r="K118" s="31"/>
      <c r="L118" s="31"/>
      <c r="M118" s="31"/>
      <c r="N118" s="31"/>
      <c r="O118" s="16" t="s">
        <v>219</v>
      </c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</row>
    <row r="119" spans="1:28" ht="15.75" x14ac:dyDescent="0.25">
      <c r="A119" s="29" t="s">
        <v>220</v>
      </c>
      <c r="B119" s="29" t="s">
        <v>156</v>
      </c>
      <c r="C119" s="29" t="s">
        <v>221</v>
      </c>
      <c r="D119" s="29"/>
      <c r="E119" s="29">
        <v>57</v>
      </c>
      <c r="F119" s="104">
        <f t="shared" si="3"/>
        <v>69.215099999999993</v>
      </c>
      <c r="G119" s="29">
        <v>46</v>
      </c>
      <c r="H119" s="106">
        <f t="shared" si="4"/>
        <v>52.784999999999997</v>
      </c>
      <c r="I119" s="66">
        <v>75.726217000000005</v>
      </c>
      <c r="J119" s="31">
        <v>75.7</v>
      </c>
      <c r="K119" s="31"/>
      <c r="L119" s="31"/>
      <c r="M119" s="31"/>
      <c r="N119" s="31"/>
      <c r="O119" s="71" t="s">
        <v>222</v>
      </c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</row>
    <row r="120" spans="1:28" ht="15.75" x14ac:dyDescent="0.25">
      <c r="A120" s="72" t="s">
        <v>223</v>
      </c>
      <c r="B120" s="73" t="s">
        <v>224</v>
      </c>
      <c r="C120" s="73" t="s">
        <v>225</v>
      </c>
      <c r="D120" s="73"/>
      <c r="E120" s="73"/>
      <c r="F120" s="109"/>
      <c r="G120" s="73"/>
      <c r="H120" s="110"/>
      <c r="I120" s="74">
        <v>10.196999999999999</v>
      </c>
      <c r="J120" s="75">
        <f>I120</f>
        <v>10.196999999999999</v>
      </c>
      <c r="K120" s="75"/>
      <c r="L120" s="75"/>
      <c r="M120" s="75"/>
      <c r="N120" s="75"/>
      <c r="O120" s="21" t="s">
        <v>164</v>
      </c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</row>
    <row r="121" spans="1:28" ht="15.75" x14ac:dyDescent="0.25">
      <c r="A121" s="29" t="s">
        <v>226</v>
      </c>
      <c r="B121" s="29" t="s">
        <v>227</v>
      </c>
      <c r="C121" s="29" t="s">
        <v>228</v>
      </c>
      <c r="D121" s="29"/>
      <c r="E121" s="29">
        <v>7.3</v>
      </c>
      <c r="F121" s="109">
        <f t="shared" si="3"/>
        <v>8.8643899999999984</v>
      </c>
      <c r="G121" s="29">
        <v>8.6</v>
      </c>
      <c r="H121" s="110">
        <f t="shared" si="4"/>
        <v>9.8684999999999992</v>
      </c>
      <c r="I121" s="66">
        <v>18.100000000000001</v>
      </c>
      <c r="J121" s="31">
        <f>I121</f>
        <v>18.100000000000001</v>
      </c>
      <c r="K121" s="31"/>
      <c r="L121" s="31"/>
      <c r="M121" s="31"/>
      <c r="N121" s="31"/>
      <c r="O121" s="59" t="s">
        <v>229</v>
      </c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</row>
    <row r="122" spans="1:28" ht="15.75" x14ac:dyDescent="0.25">
      <c r="A122" s="29" t="s">
        <v>230</v>
      </c>
      <c r="B122" s="29" t="s">
        <v>231</v>
      </c>
      <c r="C122" s="29" t="s">
        <v>232</v>
      </c>
      <c r="D122" s="29"/>
      <c r="E122" s="29">
        <v>155.9</v>
      </c>
      <c r="F122" s="109">
        <f t="shared" si="3"/>
        <v>189.30937</v>
      </c>
      <c r="G122" s="29">
        <v>154.19999999999999</v>
      </c>
      <c r="H122" s="110">
        <f t="shared" si="4"/>
        <v>176.94449999999998</v>
      </c>
      <c r="I122" s="66">
        <v>127.1</v>
      </c>
      <c r="J122" s="31">
        <f>I122</f>
        <v>127.1</v>
      </c>
      <c r="K122" s="31"/>
      <c r="L122" s="31"/>
      <c r="M122" s="31"/>
      <c r="N122" s="31"/>
      <c r="O122" s="29" t="s">
        <v>229</v>
      </c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</row>
    <row r="123" spans="1:28" ht="15.75" x14ac:dyDescent="0.25">
      <c r="A123" s="59" t="s">
        <v>233</v>
      </c>
      <c r="B123" s="59" t="s">
        <v>234</v>
      </c>
      <c r="C123" s="59" t="s">
        <v>235</v>
      </c>
      <c r="D123" s="59"/>
      <c r="E123" s="59">
        <v>1466</v>
      </c>
      <c r="F123" s="109">
        <f t="shared" si="3"/>
        <v>1780.1637999999998</v>
      </c>
      <c r="G123" s="76">
        <v>1480.6</v>
      </c>
      <c r="H123" s="110">
        <f t="shared" si="4"/>
        <v>1698.9884999999999</v>
      </c>
      <c r="I123" s="63">
        <f>1385736000/1000000</f>
        <v>1385.7360000000001</v>
      </c>
      <c r="J123" s="61"/>
      <c r="K123" s="61"/>
      <c r="L123" s="77">
        <f>1385736000/1000000</f>
        <v>1385.7360000000001</v>
      </c>
      <c r="M123" s="61"/>
      <c r="N123" s="61"/>
      <c r="O123" s="73" t="s">
        <v>236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</row>
    <row r="124" spans="1:28" ht="15.75" x14ac:dyDescent="0.25">
      <c r="A124" s="24" t="s">
        <v>237</v>
      </c>
      <c r="B124" s="24" t="s">
        <v>238</v>
      </c>
      <c r="C124" s="24" t="s">
        <v>239</v>
      </c>
      <c r="D124" s="24"/>
      <c r="E124" s="24">
        <v>17.7</v>
      </c>
      <c r="F124" s="105">
        <f t="shared" si="3"/>
        <v>21.493109999999998</v>
      </c>
      <c r="G124" s="24">
        <v>18.7</v>
      </c>
      <c r="H124" s="107">
        <f t="shared" si="4"/>
        <v>21.45825</v>
      </c>
      <c r="I124" s="78">
        <f>I125+I126</f>
        <v>2.9526779999999997</v>
      </c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:28" ht="15.75" x14ac:dyDescent="0.25">
      <c r="A125" s="24"/>
      <c r="B125" s="24"/>
      <c r="C125" s="24" t="s">
        <v>240</v>
      </c>
      <c r="D125" s="24"/>
      <c r="E125" s="24"/>
      <c r="F125" s="97"/>
      <c r="G125" s="24"/>
      <c r="H125" s="94"/>
      <c r="I125" s="36">
        <v>1.685937</v>
      </c>
      <c r="J125" s="35"/>
      <c r="K125" s="36">
        <v>1.685937</v>
      </c>
      <c r="L125" s="35"/>
      <c r="M125" s="35"/>
      <c r="N125" s="35"/>
      <c r="O125" s="21" t="s">
        <v>241</v>
      </c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 ht="15.75" x14ac:dyDescent="0.25">
      <c r="A126" s="29"/>
      <c r="B126" s="29"/>
      <c r="C126" s="29" t="s">
        <v>242</v>
      </c>
      <c r="D126" s="29"/>
      <c r="E126" s="29"/>
      <c r="F126" s="104"/>
      <c r="G126" s="29"/>
      <c r="H126" s="106"/>
      <c r="I126" s="38">
        <v>1.2667409999999999</v>
      </c>
      <c r="J126" s="38">
        <v>1.2667409999999999</v>
      </c>
      <c r="K126" s="31"/>
      <c r="L126" s="31"/>
      <c r="M126" s="31"/>
      <c r="N126" s="31"/>
      <c r="O126" s="16" t="s">
        <v>243</v>
      </c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</row>
    <row r="127" spans="1:28" ht="15.75" x14ac:dyDescent="0.25">
      <c r="A127" s="29" t="s">
        <v>244</v>
      </c>
      <c r="B127" s="29" t="s">
        <v>245</v>
      </c>
      <c r="C127" s="29" t="s">
        <v>246</v>
      </c>
      <c r="D127" s="29"/>
      <c r="E127" s="29">
        <v>73.8</v>
      </c>
      <c r="F127" s="109">
        <f t="shared" si="3"/>
        <v>89.615339999999989</v>
      </c>
      <c r="G127" s="29">
        <v>1</v>
      </c>
      <c r="H127" s="110">
        <f t="shared" si="4"/>
        <v>1.1475</v>
      </c>
      <c r="I127" s="66">
        <v>0</v>
      </c>
      <c r="J127" s="31"/>
      <c r="K127" s="31"/>
      <c r="L127" s="31"/>
      <c r="M127" s="31"/>
      <c r="N127" s="31"/>
      <c r="O127" s="26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</row>
    <row r="128" spans="1:28" ht="15.75" x14ac:dyDescent="0.25">
      <c r="A128" s="2" t="s">
        <v>247</v>
      </c>
      <c r="B128" s="2" t="s">
        <v>95</v>
      </c>
      <c r="C128" s="2" t="s">
        <v>248</v>
      </c>
      <c r="D128" s="2"/>
      <c r="E128" s="2">
        <v>1614.2</v>
      </c>
      <c r="F128" s="105">
        <f t="shared" si="3"/>
        <v>1960.1230599999999</v>
      </c>
      <c r="G128" s="68">
        <v>1989.4</v>
      </c>
      <c r="H128" s="107">
        <f t="shared" si="4"/>
        <v>2282.8364999999999</v>
      </c>
      <c r="I128" s="39">
        <f>SUM(I129:I132)</f>
        <v>1200.8618980000001</v>
      </c>
      <c r="J128" s="79"/>
      <c r="K128" s="79"/>
      <c r="L128" s="79"/>
      <c r="M128" s="79"/>
      <c r="N128" s="79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x14ac:dyDescent="0.25">
      <c r="A129" s="2"/>
      <c r="B129" s="2"/>
      <c r="C129" s="2" t="s">
        <v>249</v>
      </c>
      <c r="D129" s="2"/>
      <c r="E129" s="2"/>
      <c r="F129" s="97"/>
      <c r="G129" s="68"/>
      <c r="H129" s="94"/>
      <c r="I129" s="3">
        <v>391.71973100000002</v>
      </c>
      <c r="J129" s="3">
        <v>391.71973100000002</v>
      </c>
      <c r="K129" s="11"/>
      <c r="L129" s="11"/>
      <c r="M129" s="11"/>
      <c r="N129" s="11"/>
      <c r="O129" s="13" t="s">
        <v>250</v>
      </c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x14ac:dyDescent="0.25">
      <c r="A130" s="2"/>
      <c r="B130" s="2"/>
      <c r="C130" s="2" t="s">
        <v>251</v>
      </c>
      <c r="D130" s="2"/>
      <c r="E130" s="2"/>
      <c r="F130" s="97"/>
      <c r="G130" s="68"/>
      <c r="H130" s="94"/>
      <c r="I130" s="3">
        <v>700.52605800000003</v>
      </c>
      <c r="J130" s="3">
        <v>700.52605800000003</v>
      </c>
      <c r="K130" s="11"/>
      <c r="L130" s="11"/>
      <c r="M130" s="11"/>
      <c r="N130" s="11"/>
      <c r="O130" s="13" t="s">
        <v>252</v>
      </c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x14ac:dyDescent="0.25">
      <c r="A131" s="2"/>
      <c r="B131" s="2"/>
      <c r="C131" s="24" t="s">
        <v>253</v>
      </c>
      <c r="D131" s="2"/>
      <c r="E131" s="24">
        <v>93.6</v>
      </c>
      <c r="F131" s="97">
        <f t="shared" si="3"/>
        <v>113.65847999999998</v>
      </c>
      <c r="G131" s="24">
        <v>35</v>
      </c>
      <c r="H131" s="94">
        <f t="shared" si="4"/>
        <v>40.162500000000001</v>
      </c>
      <c r="I131" s="36">
        <v>30</v>
      </c>
      <c r="J131" s="36"/>
      <c r="K131" s="2"/>
      <c r="L131" s="80">
        <f>I131</f>
        <v>30</v>
      </c>
      <c r="M131" s="36"/>
      <c r="N131" s="36"/>
      <c r="O131" s="81" t="s">
        <v>254</v>
      </c>
      <c r="P131" s="24"/>
      <c r="Q131" s="24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x14ac:dyDescent="0.25">
      <c r="A132" s="29"/>
      <c r="B132" s="29"/>
      <c r="C132" s="29" t="s">
        <v>255</v>
      </c>
      <c r="D132" s="29"/>
      <c r="E132" s="29"/>
      <c r="F132" s="104"/>
      <c r="G132" s="70"/>
      <c r="H132" s="106"/>
      <c r="I132" s="30">
        <v>78.616108999999994</v>
      </c>
      <c r="J132" s="31"/>
      <c r="K132" s="31"/>
      <c r="L132" s="30">
        <v>78.616108999999994</v>
      </c>
      <c r="M132" s="31"/>
      <c r="N132" s="31"/>
      <c r="O132" s="16" t="s">
        <v>256</v>
      </c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</row>
    <row r="133" spans="1:28" ht="15.75" x14ac:dyDescent="0.25">
      <c r="A133" s="59" t="s">
        <v>257</v>
      </c>
      <c r="B133" s="59" t="s">
        <v>258</v>
      </c>
      <c r="C133" s="59" t="s">
        <v>259</v>
      </c>
      <c r="D133" s="59"/>
      <c r="E133" s="59">
        <v>20.8</v>
      </c>
      <c r="F133" s="109">
        <f t="shared" ref="F133:F185" si="5">E133*1.2143</f>
        <v>25.257439999999999</v>
      </c>
      <c r="G133" s="82">
        <v>11.9</v>
      </c>
      <c r="H133" s="110">
        <f t="shared" ref="H133:H185" si="6">G133*1.1475</f>
        <v>13.655250000000001</v>
      </c>
      <c r="I133" s="63">
        <v>14</v>
      </c>
      <c r="J133" s="77">
        <v>14</v>
      </c>
      <c r="K133" s="77"/>
      <c r="L133" s="77"/>
      <c r="M133" s="77"/>
      <c r="N133" s="77"/>
      <c r="O133" s="73" t="s">
        <v>260</v>
      </c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</row>
    <row r="134" spans="1:28" ht="15.75" x14ac:dyDescent="0.25">
      <c r="A134" s="2" t="s">
        <v>261</v>
      </c>
      <c r="B134" s="2" t="s">
        <v>12</v>
      </c>
      <c r="C134" s="2" t="s">
        <v>262</v>
      </c>
      <c r="D134" s="2"/>
      <c r="E134" s="2">
        <v>1.7</v>
      </c>
      <c r="F134" s="109">
        <f t="shared" si="5"/>
        <v>2.0643099999999999</v>
      </c>
      <c r="G134" s="3">
        <v>1.5</v>
      </c>
      <c r="H134" s="110">
        <f t="shared" si="6"/>
        <v>1.7212499999999999</v>
      </c>
      <c r="I134" s="66">
        <v>6.98</v>
      </c>
      <c r="J134" s="31">
        <f>I134</f>
        <v>6.98</v>
      </c>
      <c r="K134" s="11"/>
      <c r="L134" s="11"/>
      <c r="M134" s="11"/>
      <c r="N134" s="11"/>
      <c r="O134" s="24" t="s">
        <v>229</v>
      </c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x14ac:dyDescent="0.25">
      <c r="A135" s="17" t="s">
        <v>263</v>
      </c>
      <c r="B135" s="17" t="s">
        <v>264</v>
      </c>
      <c r="C135" s="17" t="s">
        <v>265</v>
      </c>
      <c r="D135" s="17"/>
      <c r="E135" s="17">
        <v>1947.8</v>
      </c>
      <c r="F135" s="105">
        <f t="shared" si="5"/>
        <v>2365.2135399999997</v>
      </c>
      <c r="G135" s="83">
        <v>1647</v>
      </c>
      <c r="H135" s="107">
        <f t="shared" si="6"/>
        <v>1889.9324999999999</v>
      </c>
      <c r="I135" s="45">
        <f>SUM(I136:I140)</f>
        <v>317.065</v>
      </c>
      <c r="J135" s="19"/>
      <c r="K135" s="19"/>
      <c r="L135" s="19"/>
      <c r="M135" s="19"/>
      <c r="N135" s="19"/>
      <c r="O135" s="84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5.75" x14ac:dyDescent="0.25">
      <c r="A136" s="24"/>
      <c r="B136" s="24"/>
      <c r="C136" s="24" t="s">
        <v>266</v>
      </c>
      <c r="D136" s="24"/>
      <c r="E136" s="24"/>
      <c r="F136" s="97"/>
      <c r="G136" s="37"/>
      <c r="H136" s="94"/>
      <c r="I136" s="80">
        <f>610/5</f>
        <v>122</v>
      </c>
      <c r="J136" s="85">
        <v>122</v>
      </c>
      <c r="K136" s="35"/>
      <c r="L136" s="35"/>
      <c r="M136" s="35"/>
      <c r="N136" s="35"/>
      <c r="O136" s="21" t="s">
        <v>267</v>
      </c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1:28" ht="15.75" x14ac:dyDescent="0.25">
      <c r="A137" s="24"/>
      <c r="B137" s="24"/>
      <c r="C137" s="24" t="s">
        <v>268</v>
      </c>
      <c r="D137" s="24"/>
      <c r="E137" s="24"/>
      <c r="F137" s="97"/>
      <c r="G137" s="37"/>
      <c r="H137" s="94"/>
      <c r="I137" s="80">
        <v>15</v>
      </c>
      <c r="J137" s="85">
        <v>15</v>
      </c>
      <c r="K137" s="35"/>
      <c r="L137" s="35"/>
      <c r="M137" s="35"/>
      <c r="N137" s="35"/>
      <c r="O137" s="21" t="s">
        <v>269</v>
      </c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1:28" ht="15.75" x14ac:dyDescent="0.25">
      <c r="A138" s="24"/>
      <c r="B138" s="24"/>
      <c r="C138" s="24" t="s">
        <v>270</v>
      </c>
      <c r="D138" s="24"/>
      <c r="E138" s="24"/>
      <c r="F138" s="97"/>
      <c r="G138" s="37"/>
      <c r="H138" s="94"/>
      <c r="I138" s="80">
        <v>4.5</v>
      </c>
      <c r="J138" s="85">
        <v>4.5</v>
      </c>
      <c r="K138" s="35"/>
      <c r="L138" s="35"/>
      <c r="M138" s="35"/>
      <c r="N138" s="35"/>
      <c r="O138" s="21" t="s">
        <v>271</v>
      </c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1:28" ht="15.75" x14ac:dyDescent="0.25">
      <c r="A139" s="24"/>
      <c r="B139" s="24"/>
      <c r="C139" s="24" t="s">
        <v>272</v>
      </c>
      <c r="D139" s="24"/>
      <c r="E139" s="24"/>
      <c r="F139" s="97"/>
      <c r="G139" s="37"/>
      <c r="H139" s="94"/>
      <c r="I139" s="80">
        <f>J139+K139</f>
        <v>175.4</v>
      </c>
      <c r="J139" s="85">
        <v>11.4</v>
      </c>
      <c r="K139" s="35">
        <v>164</v>
      </c>
      <c r="L139" s="35"/>
      <c r="M139" s="35"/>
      <c r="N139" s="35"/>
      <c r="O139" s="21" t="s">
        <v>273</v>
      </c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1:28" ht="15.75" x14ac:dyDescent="0.25">
      <c r="A140" s="29"/>
      <c r="B140" s="29"/>
      <c r="C140" s="29" t="s">
        <v>274</v>
      </c>
      <c r="D140" s="29"/>
      <c r="E140" s="29"/>
      <c r="F140" s="104"/>
      <c r="G140" s="30"/>
      <c r="H140" s="106"/>
      <c r="I140" s="49">
        <v>0.16500000000000001</v>
      </c>
      <c r="J140" s="49">
        <v>0.16500000000000001</v>
      </c>
      <c r="K140" s="31"/>
      <c r="L140" s="31"/>
      <c r="M140" s="31"/>
      <c r="N140" s="31"/>
      <c r="O140" s="29" t="s">
        <v>275</v>
      </c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</row>
    <row r="141" spans="1:28" ht="15.75" x14ac:dyDescent="0.25">
      <c r="A141" s="29" t="s">
        <v>276</v>
      </c>
      <c r="B141" s="29" t="s">
        <v>277</v>
      </c>
      <c r="C141" s="29" t="s">
        <v>278</v>
      </c>
      <c r="D141" s="29"/>
      <c r="E141" s="29">
        <v>1604</v>
      </c>
      <c r="F141" s="109">
        <f t="shared" si="5"/>
        <v>1947.7371999999998</v>
      </c>
      <c r="G141" s="30">
        <v>1731.5</v>
      </c>
      <c r="H141" s="110">
        <f t="shared" si="6"/>
        <v>1986.89625</v>
      </c>
      <c r="I141" s="66">
        <v>1242</v>
      </c>
      <c r="J141" s="31">
        <f>I141</f>
        <v>1242</v>
      </c>
      <c r="K141" s="31"/>
      <c r="L141" s="31"/>
      <c r="M141" s="31"/>
      <c r="N141" s="31"/>
      <c r="O141" s="29" t="s">
        <v>279</v>
      </c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</row>
    <row r="142" spans="1:28" ht="15.75" x14ac:dyDescent="0.25">
      <c r="A142" s="59" t="s">
        <v>280</v>
      </c>
      <c r="B142" s="59" t="s">
        <v>281</v>
      </c>
      <c r="C142" s="73" t="s">
        <v>282</v>
      </c>
      <c r="D142" s="59"/>
      <c r="E142" s="59">
        <v>6.5</v>
      </c>
      <c r="F142" s="109"/>
      <c r="G142" s="59">
        <v>29.4</v>
      </c>
      <c r="H142" s="110">
        <f t="shared" si="6"/>
        <v>33.736499999999999</v>
      </c>
      <c r="I142" s="74">
        <v>16.315200000000001</v>
      </c>
      <c r="J142" s="75">
        <f>I142</f>
        <v>16.315200000000001</v>
      </c>
      <c r="K142" s="86"/>
      <c r="L142" s="86"/>
      <c r="M142" s="86"/>
      <c r="N142" s="86"/>
      <c r="O142" s="73" t="s">
        <v>164</v>
      </c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</row>
    <row r="143" spans="1:28" ht="15.75" x14ac:dyDescent="0.25">
      <c r="A143" s="13" t="s">
        <v>283</v>
      </c>
      <c r="B143" s="13" t="s">
        <v>284</v>
      </c>
      <c r="C143" s="13" t="s">
        <v>285</v>
      </c>
      <c r="D143" s="13"/>
      <c r="E143" s="13"/>
      <c r="F143" s="109"/>
      <c r="G143" s="13"/>
      <c r="H143" s="110"/>
      <c r="I143" s="52">
        <v>17.674800000000001</v>
      </c>
      <c r="J143" s="15">
        <f>I143</f>
        <v>17.674800000000001</v>
      </c>
      <c r="K143" s="15"/>
      <c r="L143" s="15"/>
      <c r="M143" s="15"/>
      <c r="N143" s="15"/>
      <c r="O143" s="21" t="s">
        <v>164</v>
      </c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:28" ht="15.75" x14ac:dyDescent="0.25">
      <c r="A144" s="59" t="s">
        <v>286</v>
      </c>
      <c r="B144" s="59" t="s">
        <v>50</v>
      </c>
      <c r="C144" s="59" t="s">
        <v>287</v>
      </c>
      <c r="D144" s="59"/>
      <c r="E144" s="59">
        <v>1.7</v>
      </c>
      <c r="F144" s="109"/>
      <c r="G144" s="59">
        <v>1.5</v>
      </c>
      <c r="H144" s="110">
        <f t="shared" si="6"/>
        <v>1.7212499999999999</v>
      </c>
      <c r="I144" s="82">
        <v>0</v>
      </c>
      <c r="J144" s="61"/>
      <c r="K144" s="61"/>
      <c r="L144" s="61"/>
      <c r="M144" s="61"/>
      <c r="N144" s="61"/>
      <c r="O144" s="59" t="s">
        <v>288</v>
      </c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</row>
    <row r="145" spans="1:28" ht="15.75" x14ac:dyDescent="0.25">
      <c r="A145" s="2" t="s">
        <v>289</v>
      </c>
      <c r="B145" s="2" t="s">
        <v>33</v>
      </c>
      <c r="C145" s="2" t="s">
        <v>290</v>
      </c>
      <c r="D145" s="2"/>
      <c r="E145" s="2">
        <v>1.7</v>
      </c>
      <c r="F145" s="105"/>
      <c r="G145" s="2">
        <v>1.5</v>
      </c>
      <c r="H145" s="107">
        <f t="shared" si="6"/>
        <v>1.7212499999999999</v>
      </c>
      <c r="I145" s="39">
        <f>I146</f>
        <v>15.384917</v>
      </c>
      <c r="J145" s="11"/>
      <c r="K145" s="11"/>
      <c r="L145" s="11"/>
      <c r="M145" s="11"/>
      <c r="N145" s="1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x14ac:dyDescent="0.25">
      <c r="A146" s="29"/>
      <c r="B146" s="29"/>
      <c r="C146" s="29" t="s">
        <v>291</v>
      </c>
      <c r="D146" s="29"/>
      <c r="E146" s="29"/>
      <c r="F146" s="104"/>
      <c r="G146" s="29"/>
      <c r="H146" s="106"/>
      <c r="I146" s="49">
        <v>15.384917</v>
      </c>
      <c r="J146" s="31">
        <f>I146</f>
        <v>15.384917</v>
      </c>
      <c r="K146" s="31"/>
      <c r="L146" s="31"/>
      <c r="M146" s="31"/>
      <c r="N146" s="31"/>
      <c r="O146" s="16" t="s">
        <v>292</v>
      </c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</row>
    <row r="147" spans="1:28" ht="15.75" x14ac:dyDescent="0.25">
      <c r="A147" s="29" t="s">
        <v>293</v>
      </c>
      <c r="B147" s="29" t="s">
        <v>294</v>
      </c>
      <c r="C147" s="29" t="s">
        <v>295</v>
      </c>
      <c r="D147" s="29"/>
      <c r="E147" s="29">
        <v>797.1</v>
      </c>
      <c r="F147" s="109">
        <f t="shared" si="5"/>
        <v>967.91853000000003</v>
      </c>
      <c r="G147" s="29">
        <v>765</v>
      </c>
      <c r="H147" s="110">
        <f t="shared" si="6"/>
        <v>877.83749999999998</v>
      </c>
      <c r="I147" s="66">
        <v>3289</v>
      </c>
      <c r="J147" s="31">
        <v>3289</v>
      </c>
      <c r="K147" s="31"/>
      <c r="L147" s="31"/>
      <c r="M147" s="31"/>
      <c r="N147" s="31"/>
      <c r="O147" s="16" t="s">
        <v>296</v>
      </c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</row>
    <row r="148" spans="1:28" ht="15.75" x14ac:dyDescent="0.25">
      <c r="A148" s="59" t="s">
        <v>297</v>
      </c>
      <c r="B148" s="29" t="s">
        <v>298</v>
      </c>
      <c r="C148" s="29" t="s">
        <v>299</v>
      </c>
      <c r="D148" s="26"/>
      <c r="E148" s="26"/>
      <c r="F148" s="109"/>
      <c r="G148" s="26"/>
      <c r="H148" s="110"/>
      <c r="I148" s="87">
        <v>48.2</v>
      </c>
      <c r="J148" s="28">
        <f>I148</f>
        <v>48.2</v>
      </c>
      <c r="K148" s="28"/>
      <c r="L148" s="28"/>
      <c r="M148" s="28"/>
      <c r="N148" s="28"/>
      <c r="O148" s="59" t="s">
        <v>42</v>
      </c>
      <c r="P148" s="88"/>
      <c r="Q148" s="88"/>
      <c r="R148" s="88"/>
      <c r="S148" s="88"/>
      <c r="T148" s="59"/>
      <c r="U148" s="59"/>
      <c r="V148" s="59"/>
      <c r="W148" s="59"/>
      <c r="X148" s="59"/>
      <c r="Y148" s="59"/>
      <c r="Z148" s="59"/>
      <c r="AA148" s="59"/>
      <c r="AB148" s="59"/>
    </row>
    <row r="149" spans="1:28" ht="15.75" x14ac:dyDescent="0.25">
      <c r="A149" s="2"/>
      <c r="B149" s="2"/>
      <c r="C149" s="43"/>
      <c r="D149" s="43"/>
      <c r="E149" s="89"/>
      <c r="F149" s="105"/>
      <c r="G149" s="89"/>
      <c r="H149" s="107"/>
      <c r="I149" s="3"/>
      <c r="J149" s="11"/>
      <c r="K149" s="11"/>
      <c r="L149" s="11"/>
      <c r="M149" s="11"/>
      <c r="N149" s="1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x14ac:dyDescent="0.25">
      <c r="A150" s="2"/>
      <c r="B150" s="2"/>
      <c r="C150" s="2"/>
      <c r="D150" s="2"/>
      <c r="E150" s="2"/>
      <c r="F150" s="97"/>
      <c r="G150" s="2"/>
      <c r="H150" s="94"/>
      <c r="I150" s="3"/>
      <c r="J150" s="5" t="s">
        <v>4</v>
      </c>
      <c r="K150" s="5" t="s">
        <v>5</v>
      </c>
      <c r="L150" s="5" t="s">
        <v>6</v>
      </c>
      <c r="M150" s="5" t="s">
        <v>7</v>
      </c>
      <c r="N150" s="5" t="s">
        <v>8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x14ac:dyDescent="0.25">
      <c r="A151" s="6" t="s">
        <v>300</v>
      </c>
      <c r="B151" s="6"/>
      <c r="C151" s="6" t="s">
        <v>301</v>
      </c>
      <c r="D151" s="6"/>
      <c r="E151" s="6">
        <f>SUM(E152:E180)</f>
        <v>1970.2</v>
      </c>
      <c r="F151" s="99">
        <f t="shared" si="5"/>
        <v>2392.4138600000001</v>
      </c>
      <c r="G151" s="64">
        <f>SUM(G152:G181)</f>
        <v>2489.9499999999998</v>
      </c>
      <c r="H151" s="96">
        <f t="shared" si="6"/>
        <v>2857.2176249999998</v>
      </c>
      <c r="I151" s="7">
        <f>I152+I161+I162+I163+I166+I167+I168+I171+I179+I180+I181+I184</f>
        <v>2347.0213637499996</v>
      </c>
      <c r="J151" s="65">
        <f>SUM(J152:J183)</f>
        <v>745.20897599999989</v>
      </c>
      <c r="K151" s="65">
        <f>SUM(K152:K183)</f>
        <v>1.5189999999999999</v>
      </c>
      <c r="L151" s="65">
        <f>SUM(L152:L183)</f>
        <v>310.21929499999999</v>
      </c>
      <c r="M151" s="65">
        <f>SUM(M152:M184)</f>
        <v>1290.075149</v>
      </c>
      <c r="N151" s="65">
        <f>SUM(N152:N183)</f>
        <v>0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x14ac:dyDescent="0.25">
      <c r="A152" s="2" t="s">
        <v>302</v>
      </c>
      <c r="B152" s="2" t="s">
        <v>303</v>
      </c>
      <c r="C152" s="2" t="s">
        <v>304</v>
      </c>
      <c r="D152" s="2"/>
      <c r="E152" s="2">
        <v>145.1</v>
      </c>
      <c r="F152" s="97">
        <f t="shared" si="5"/>
        <v>176.19492999999997</v>
      </c>
      <c r="G152" s="2">
        <v>222.2</v>
      </c>
      <c r="H152" s="94">
        <f t="shared" si="6"/>
        <v>254.97449999999998</v>
      </c>
      <c r="I152" s="39">
        <f>SUM(I153:I160)</f>
        <v>447.93880000000001</v>
      </c>
      <c r="J152" s="11"/>
      <c r="K152" s="11"/>
      <c r="L152" s="11"/>
      <c r="M152" s="11"/>
      <c r="N152" s="1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x14ac:dyDescent="0.25">
      <c r="A153" s="2"/>
      <c r="B153" s="2"/>
      <c r="C153" s="2" t="s">
        <v>305</v>
      </c>
      <c r="D153" s="2"/>
      <c r="E153" s="2"/>
      <c r="F153" s="97"/>
      <c r="G153" s="2"/>
      <c r="H153" s="94"/>
      <c r="I153" s="3">
        <v>229.16499999999999</v>
      </c>
      <c r="J153" s="11">
        <f>I153</f>
        <v>229.16499999999999</v>
      </c>
      <c r="K153" s="11"/>
      <c r="L153" s="11"/>
      <c r="M153" s="11"/>
      <c r="N153" s="11"/>
      <c r="O153" s="24" t="s">
        <v>42</v>
      </c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x14ac:dyDescent="0.25">
      <c r="A154" s="2"/>
      <c r="B154" s="2"/>
      <c r="C154" s="2" t="s">
        <v>306</v>
      </c>
      <c r="D154" s="2"/>
      <c r="E154" s="2"/>
      <c r="F154" s="97"/>
      <c r="G154" s="2"/>
      <c r="H154" s="94"/>
      <c r="I154" s="3">
        <v>46.454999999999998</v>
      </c>
      <c r="J154" s="11">
        <f t="shared" ref="J154:J159" si="7">I154</f>
        <v>46.454999999999998</v>
      </c>
      <c r="K154" s="11"/>
      <c r="L154" s="11"/>
      <c r="M154" s="11"/>
      <c r="N154" s="11"/>
      <c r="O154" s="24" t="s">
        <v>42</v>
      </c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x14ac:dyDescent="0.25">
      <c r="A155" s="2"/>
      <c r="B155" s="2"/>
      <c r="C155" s="2" t="s">
        <v>307</v>
      </c>
      <c r="D155" s="2"/>
      <c r="E155" s="2"/>
      <c r="F155" s="97"/>
      <c r="G155" s="2"/>
      <c r="H155" s="94"/>
      <c r="I155" s="3">
        <v>36.5</v>
      </c>
      <c r="J155" s="11">
        <f t="shared" si="7"/>
        <v>36.5</v>
      </c>
      <c r="K155" s="11"/>
      <c r="L155" s="11"/>
      <c r="M155" s="11"/>
      <c r="N155" s="11"/>
      <c r="O155" s="24" t="s">
        <v>42</v>
      </c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x14ac:dyDescent="0.25">
      <c r="A156" s="2"/>
      <c r="B156" s="2"/>
      <c r="C156" s="2" t="s">
        <v>308</v>
      </c>
      <c r="D156" s="2"/>
      <c r="E156" s="2"/>
      <c r="F156" s="97"/>
      <c r="G156" s="2"/>
      <c r="H156" s="94"/>
      <c r="I156" s="3">
        <v>26.698</v>
      </c>
      <c r="J156" s="11"/>
      <c r="K156" s="11"/>
      <c r="L156" s="11">
        <f>I156</f>
        <v>26.698</v>
      </c>
      <c r="M156" s="11"/>
      <c r="N156" s="11"/>
      <c r="O156" s="24" t="s">
        <v>42</v>
      </c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x14ac:dyDescent="0.25">
      <c r="A157" s="13"/>
      <c r="B157" s="13"/>
      <c r="C157" s="13" t="s">
        <v>309</v>
      </c>
      <c r="D157" s="13"/>
      <c r="E157" s="13"/>
      <c r="F157" s="97"/>
      <c r="G157" s="13"/>
      <c r="H157" s="94"/>
      <c r="I157" s="14">
        <v>11.5566</v>
      </c>
      <c r="J157" s="11">
        <f t="shared" si="7"/>
        <v>11.5566</v>
      </c>
      <c r="K157" s="15"/>
      <c r="L157" s="15"/>
      <c r="M157" s="15"/>
      <c r="N157" s="15"/>
      <c r="O157" s="21" t="s">
        <v>164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:28" ht="15.75" x14ac:dyDescent="0.25">
      <c r="A158" s="21"/>
      <c r="B158" s="21"/>
      <c r="C158" s="21" t="s">
        <v>310</v>
      </c>
      <c r="D158" s="21"/>
      <c r="E158" s="21"/>
      <c r="F158" s="97"/>
      <c r="G158" s="21"/>
      <c r="H158" s="94"/>
      <c r="I158" s="22">
        <v>11.6</v>
      </c>
      <c r="J158" s="11">
        <f t="shared" si="7"/>
        <v>11.6</v>
      </c>
      <c r="K158" s="23"/>
      <c r="L158" s="23"/>
      <c r="M158" s="23"/>
      <c r="N158" s="23"/>
      <c r="O158" s="24" t="s">
        <v>42</v>
      </c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</row>
    <row r="159" spans="1:28" ht="15.75" x14ac:dyDescent="0.25">
      <c r="A159" s="21"/>
      <c r="B159" s="21"/>
      <c r="C159" s="21" t="s">
        <v>311</v>
      </c>
      <c r="D159" s="21"/>
      <c r="E159" s="21"/>
      <c r="F159" s="97"/>
      <c r="G159" s="21"/>
      <c r="H159" s="94"/>
      <c r="I159" s="22">
        <v>84.295199999999994</v>
      </c>
      <c r="J159" s="35">
        <f t="shared" si="7"/>
        <v>84.295199999999994</v>
      </c>
      <c r="K159" s="23"/>
      <c r="L159" s="23"/>
      <c r="M159" s="23"/>
      <c r="N159" s="23"/>
      <c r="O159" s="21" t="s">
        <v>164</v>
      </c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</row>
    <row r="160" spans="1:28" ht="15.75" x14ac:dyDescent="0.25">
      <c r="A160" s="16"/>
      <c r="B160" s="16"/>
      <c r="C160" s="16" t="s">
        <v>312</v>
      </c>
      <c r="D160" s="16"/>
      <c r="E160" s="16"/>
      <c r="F160" s="104"/>
      <c r="G160" s="16"/>
      <c r="H160" s="106"/>
      <c r="I160" s="90">
        <f>J160+K160</f>
        <v>1.6689999999999998</v>
      </c>
      <c r="J160" s="31">
        <v>0.15</v>
      </c>
      <c r="K160" s="28">
        <v>1.5189999999999999</v>
      </c>
      <c r="L160" s="28"/>
      <c r="M160" s="28"/>
      <c r="N160" s="28"/>
      <c r="O160" s="16" t="s">
        <v>313</v>
      </c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</row>
    <row r="161" spans="1:28" ht="15.75" x14ac:dyDescent="0.25">
      <c r="A161" s="59" t="s">
        <v>314</v>
      </c>
      <c r="B161" s="59" t="s">
        <v>315</v>
      </c>
      <c r="C161" s="59" t="s">
        <v>316</v>
      </c>
      <c r="D161" s="59"/>
      <c r="E161" s="59">
        <v>327.10000000000002</v>
      </c>
      <c r="F161" s="109">
        <f t="shared" si="5"/>
        <v>397.19753000000003</v>
      </c>
      <c r="G161" s="59">
        <v>411.8</v>
      </c>
      <c r="H161" s="110">
        <f t="shared" si="6"/>
        <v>472.54050000000001</v>
      </c>
      <c r="I161" s="63">
        <v>235</v>
      </c>
      <c r="J161" s="61"/>
      <c r="K161" s="61"/>
      <c r="L161" s="61"/>
      <c r="M161" s="61">
        <f>I161</f>
        <v>235</v>
      </c>
      <c r="N161" s="61"/>
      <c r="O161" s="59" t="s">
        <v>42</v>
      </c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</row>
    <row r="162" spans="1:28" ht="15.75" x14ac:dyDescent="0.25">
      <c r="A162" s="29" t="s">
        <v>317</v>
      </c>
      <c r="B162" s="29" t="s">
        <v>318</v>
      </c>
      <c r="C162" s="29" t="s">
        <v>319</v>
      </c>
      <c r="D162" s="29"/>
      <c r="E162" s="29">
        <v>574.9</v>
      </c>
      <c r="F162" s="109">
        <f t="shared" si="5"/>
        <v>698.10106999999994</v>
      </c>
      <c r="G162" s="29">
        <v>799.4</v>
      </c>
      <c r="H162" s="110">
        <f t="shared" si="6"/>
        <v>917.31149999999991</v>
      </c>
      <c r="I162" s="66">
        <v>319.2</v>
      </c>
      <c r="J162" s="31"/>
      <c r="K162" s="31"/>
      <c r="L162" s="31"/>
      <c r="M162" s="31">
        <f>I162</f>
        <v>319.2</v>
      </c>
      <c r="N162" s="31"/>
      <c r="O162" s="59" t="s">
        <v>42</v>
      </c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</row>
    <row r="163" spans="1:28" ht="15.75" x14ac:dyDescent="0.25">
      <c r="A163" s="17" t="s">
        <v>320</v>
      </c>
      <c r="B163" s="17" t="s">
        <v>321</v>
      </c>
      <c r="C163" s="17" t="s">
        <v>322</v>
      </c>
      <c r="D163" s="17"/>
      <c r="E163" s="17">
        <v>488.5</v>
      </c>
      <c r="F163" s="109">
        <f t="shared" si="5"/>
        <v>593.18554999999992</v>
      </c>
      <c r="G163" s="17">
        <v>593</v>
      </c>
      <c r="H163" s="110">
        <f t="shared" si="6"/>
        <v>680.46749999999997</v>
      </c>
      <c r="I163" s="45">
        <f>I164+I165</f>
        <v>674.9</v>
      </c>
      <c r="J163" s="19"/>
      <c r="K163" s="19"/>
      <c r="L163" s="19">
        <f>0.22*I163</f>
        <v>148.47800000000001</v>
      </c>
      <c r="M163" s="19">
        <f>0.78*I163</f>
        <v>526.42200000000003</v>
      </c>
      <c r="N163" s="19"/>
      <c r="O163" s="24" t="s">
        <v>42</v>
      </c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5.75" x14ac:dyDescent="0.25">
      <c r="A164" s="24"/>
      <c r="B164" s="24"/>
      <c r="C164" s="24" t="s">
        <v>323</v>
      </c>
      <c r="D164" s="24"/>
      <c r="E164" s="24"/>
      <c r="F164" s="105"/>
      <c r="G164" s="24"/>
      <c r="H164" s="107"/>
      <c r="I164" s="37">
        <v>614.9</v>
      </c>
      <c r="J164" s="35"/>
      <c r="K164" s="35"/>
      <c r="L164" s="35"/>
      <c r="M164" s="35"/>
      <c r="N164" s="35"/>
      <c r="O164" s="24" t="s">
        <v>324</v>
      </c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1:28" ht="15.75" x14ac:dyDescent="0.25">
      <c r="A165" s="29"/>
      <c r="B165" s="29"/>
      <c r="C165" s="29" t="s">
        <v>325</v>
      </c>
      <c r="D165" s="29"/>
      <c r="E165" s="29"/>
      <c r="F165" s="104"/>
      <c r="G165" s="29"/>
      <c r="H165" s="106"/>
      <c r="I165" s="30">
        <v>60</v>
      </c>
      <c r="J165" s="31"/>
      <c r="K165" s="31"/>
      <c r="L165" s="31"/>
      <c r="M165" s="31"/>
      <c r="N165" s="31"/>
      <c r="O165" s="29" t="s">
        <v>324</v>
      </c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</row>
    <row r="166" spans="1:28" ht="15.75" x14ac:dyDescent="0.25">
      <c r="A166" s="29" t="s">
        <v>326</v>
      </c>
      <c r="B166" s="29" t="s">
        <v>327</v>
      </c>
      <c r="C166" s="29" t="s">
        <v>328</v>
      </c>
      <c r="D166" s="29"/>
      <c r="E166" s="29">
        <v>67.900000000000006</v>
      </c>
      <c r="F166" s="109">
        <f t="shared" si="5"/>
        <v>82.450969999999998</v>
      </c>
      <c r="G166" s="29">
        <v>122.4</v>
      </c>
      <c r="H166" s="110">
        <f t="shared" si="6"/>
        <v>140.45400000000001</v>
      </c>
      <c r="I166" s="66">
        <v>95.6</v>
      </c>
      <c r="J166" s="31"/>
      <c r="K166" s="31"/>
      <c r="L166" s="31"/>
      <c r="M166" s="31">
        <f>I166</f>
        <v>95.6</v>
      </c>
      <c r="N166" s="31"/>
      <c r="O166" s="29" t="s">
        <v>329</v>
      </c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</row>
    <row r="167" spans="1:28" ht="15.75" x14ac:dyDescent="0.25">
      <c r="A167" s="29" t="s">
        <v>330</v>
      </c>
      <c r="B167" s="48" t="s">
        <v>331</v>
      </c>
      <c r="C167" s="48" t="s">
        <v>332</v>
      </c>
      <c r="D167" s="29"/>
      <c r="E167" s="29">
        <v>11.8</v>
      </c>
      <c r="F167" s="109">
        <f t="shared" si="5"/>
        <v>14.32874</v>
      </c>
      <c r="G167" s="29">
        <v>12</v>
      </c>
      <c r="H167" s="110">
        <f t="shared" si="6"/>
        <v>13.77</v>
      </c>
      <c r="I167" s="66">
        <v>3.5</v>
      </c>
      <c r="J167" s="31"/>
      <c r="K167" s="31"/>
      <c r="L167" s="31"/>
      <c r="M167" s="31">
        <v>3.5</v>
      </c>
      <c r="N167" s="31"/>
      <c r="O167" s="59" t="s">
        <v>329</v>
      </c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</row>
    <row r="168" spans="1:28" ht="15.75" x14ac:dyDescent="0.25">
      <c r="A168" s="2" t="s">
        <v>333</v>
      </c>
      <c r="B168" s="2" t="s">
        <v>12</v>
      </c>
      <c r="C168" s="2" t="s">
        <v>334</v>
      </c>
      <c r="D168" s="2"/>
      <c r="E168" s="2">
        <v>3.7</v>
      </c>
      <c r="F168" s="105">
        <f t="shared" si="5"/>
        <v>4.4929100000000002</v>
      </c>
      <c r="G168" s="2">
        <v>4.5</v>
      </c>
      <c r="H168" s="111">
        <f t="shared" si="6"/>
        <v>5.1637500000000003</v>
      </c>
      <c r="I168" s="39">
        <f>I169+I170</f>
        <v>26.724000000000004</v>
      </c>
      <c r="J168" s="11"/>
      <c r="K168" s="11"/>
      <c r="L168" s="11"/>
      <c r="M168" s="11"/>
      <c r="N168" s="11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x14ac:dyDescent="0.25">
      <c r="A169" s="2"/>
      <c r="B169" s="2"/>
      <c r="C169" s="2" t="s">
        <v>335</v>
      </c>
      <c r="D169" s="2"/>
      <c r="E169" s="2"/>
      <c r="F169" s="97"/>
      <c r="G169" s="2"/>
      <c r="H169" s="112"/>
      <c r="I169" s="79">
        <v>20.824000000000002</v>
      </c>
      <c r="J169" s="11"/>
      <c r="K169" s="11"/>
      <c r="L169" s="11"/>
      <c r="M169" s="11">
        <f>I169</f>
        <v>20.824000000000002</v>
      </c>
      <c r="N169" s="11"/>
      <c r="O169" s="2" t="s">
        <v>336</v>
      </c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x14ac:dyDescent="0.25">
      <c r="A170" s="29"/>
      <c r="B170" s="29"/>
      <c r="C170" s="29" t="s">
        <v>337</v>
      </c>
      <c r="D170" s="29"/>
      <c r="E170" s="29"/>
      <c r="F170" s="104"/>
      <c r="G170" s="29"/>
      <c r="H170" s="106"/>
      <c r="I170" s="38">
        <v>5.9</v>
      </c>
      <c r="J170" s="31"/>
      <c r="K170" s="31"/>
      <c r="L170" s="31">
        <f>I170</f>
        <v>5.9</v>
      </c>
      <c r="M170" s="31"/>
      <c r="N170" s="31"/>
      <c r="O170" s="29" t="s">
        <v>338</v>
      </c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</row>
    <row r="171" spans="1:28" ht="15.75" x14ac:dyDescent="0.25">
      <c r="A171" s="2" t="s">
        <v>339</v>
      </c>
      <c r="B171" s="2" t="s">
        <v>340</v>
      </c>
      <c r="C171" s="2" t="s">
        <v>341</v>
      </c>
      <c r="D171" s="2"/>
      <c r="E171" s="2">
        <v>115.3</v>
      </c>
      <c r="F171" s="105">
        <f t="shared" si="5"/>
        <v>140.00878999999998</v>
      </c>
      <c r="G171" s="2">
        <v>132.1</v>
      </c>
      <c r="H171" s="107">
        <f t="shared" si="6"/>
        <v>151.58474999999999</v>
      </c>
      <c r="I171" s="39">
        <f>SUM(I172:I178)</f>
        <v>96.016714750000006</v>
      </c>
      <c r="J171" s="11"/>
      <c r="K171" s="11"/>
      <c r="L171" s="11"/>
      <c r="M171" s="11"/>
      <c r="N171" s="11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x14ac:dyDescent="0.25">
      <c r="A172" s="24"/>
      <c r="B172" s="24"/>
      <c r="C172" s="24" t="s">
        <v>342</v>
      </c>
      <c r="D172" s="24"/>
      <c r="E172" s="24"/>
      <c r="F172" s="97"/>
      <c r="G172" s="24"/>
      <c r="H172" s="94"/>
      <c r="I172" s="36">
        <v>15.623744</v>
      </c>
      <c r="J172" s="36">
        <v>15.623744</v>
      </c>
      <c r="K172" s="35"/>
      <c r="L172" s="35"/>
      <c r="M172" s="35"/>
      <c r="N172" s="35"/>
      <c r="O172" s="21" t="s">
        <v>343</v>
      </c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  <row r="173" spans="1:28" ht="15.75" x14ac:dyDescent="0.25">
      <c r="A173" s="24"/>
      <c r="B173" s="24"/>
      <c r="C173" s="24" t="s">
        <v>344</v>
      </c>
      <c r="D173" s="24"/>
      <c r="E173" s="24"/>
      <c r="F173" s="97"/>
      <c r="G173" s="24"/>
      <c r="H173" s="94"/>
      <c r="I173" s="36">
        <v>0.59979000000000005</v>
      </c>
      <c r="J173" s="36">
        <v>0.59979000000000005</v>
      </c>
      <c r="K173" s="35"/>
      <c r="L173" s="35"/>
      <c r="M173" s="35"/>
      <c r="N173" s="35"/>
      <c r="O173" s="21" t="s">
        <v>345</v>
      </c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</row>
    <row r="174" spans="1:28" ht="15.75" x14ac:dyDescent="0.25">
      <c r="A174" s="24"/>
      <c r="B174" s="24"/>
      <c r="C174" s="24" t="s">
        <v>344</v>
      </c>
      <c r="D174" s="24"/>
      <c r="E174" s="24"/>
      <c r="F174" s="97"/>
      <c r="G174" s="24"/>
      <c r="H174" s="94"/>
      <c r="I174" s="36">
        <v>0.94329499999999999</v>
      </c>
      <c r="J174" s="35"/>
      <c r="K174" s="35"/>
      <c r="L174" s="36">
        <v>0.94329499999999999</v>
      </c>
      <c r="M174" s="35"/>
      <c r="N174" s="35"/>
      <c r="O174" s="24" t="s">
        <v>346</v>
      </c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</row>
    <row r="175" spans="1:28" ht="15.75" x14ac:dyDescent="0.25">
      <c r="A175" s="24"/>
      <c r="B175" s="24"/>
      <c r="C175" s="24" t="s">
        <v>347</v>
      </c>
      <c r="D175" s="24"/>
      <c r="E175" s="24"/>
      <c r="F175" s="97"/>
      <c r="G175" s="24"/>
      <c r="H175" s="94"/>
      <c r="I175" s="36">
        <v>19.191441999999999</v>
      </c>
      <c r="J175" s="36">
        <v>19.191441999999999</v>
      </c>
      <c r="K175" s="35"/>
      <c r="L175" s="35"/>
      <c r="M175" s="35"/>
      <c r="N175" s="35"/>
      <c r="O175" s="24" t="s">
        <v>348</v>
      </c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</row>
    <row r="176" spans="1:28" ht="15.75" x14ac:dyDescent="0.25">
      <c r="A176" s="24"/>
      <c r="B176" s="24"/>
      <c r="C176" s="24" t="s">
        <v>349</v>
      </c>
      <c r="D176" s="24"/>
      <c r="E176" s="24"/>
      <c r="F176" s="97"/>
      <c r="G176" s="24"/>
      <c r="H176" s="94"/>
      <c r="I176" s="36">
        <v>27</v>
      </c>
      <c r="J176" s="36">
        <v>27</v>
      </c>
      <c r="K176" s="35"/>
      <c r="L176" s="35"/>
      <c r="M176" s="35"/>
      <c r="N176" s="35"/>
      <c r="O176" s="24" t="s">
        <v>350</v>
      </c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</row>
    <row r="177" spans="1:28" ht="15.75" x14ac:dyDescent="0.25">
      <c r="A177" s="24"/>
      <c r="B177" s="24"/>
      <c r="C177" s="24" t="s">
        <v>351</v>
      </c>
      <c r="D177" s="24"/>
      <c r="E177" s="24"/>
      <c r="F177" s="97"/>
      <c r="G177" s="24"/>
      <c r="H177" s="94"/>
      <c r="I177" s="80">
        <f>(0.25*0.7*77666*125)/1000000</f>
        <v>1.69894375</v>
      </c>
      <c r="J177" s="85"/>
      <c r="K177" s="85"/>
      <c r="L177" s="85">
        <v>1.7</v>
      </c>
      <c r="M177" s="85"/>
      <c r="N177" s="85"/>
      <c r="O177" s="21" t="s">
        <v>352</v>
      </c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</row>
    <row r="178" spans="1:28" ht="15.75" x14ac:dyDescent="0.25">
      <c r="A178" s="29"/>
      <c r="B178" s="29"/>
      <c r="C178" s="29" t="s">
        <v>353</v>
      </c>
      <c r="D178" s="29"/>
      <c r="E178" s="29"/>
      <c r="F178" s="104"/>
      <c r="G178" s="29"/>
      <c r="H178" s="106"/>
      <c r="I178" s="49">
        <f>14.3%*216.5</f>
        <v>30.959500000000002</v>
      </c>
      <c r="J178" s="91"/>
      <c r="K178" s="91"/>
      <c r="L178" s="91"/>
      <c r="M178" s="91">
        <f>I178</f>
        <v>30.959500000000002</v>
      </c>
      <c r="N178" s="91"/>
      <c r="O178" s="29" t="s">
        <v>354</v>
      </c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</row>
    <row r="179" spans="1:28" ht="15.75" x14ac:dyDescent="0.25">
      <c r="A179" s="16" t="s">
        <v>355</v>
      </c>
      <c r="B179" s="16" t="s">
        <v>356</v>
      </c>
      <c r="C179" s="16" t="s">
        <v>357</v>
      </c>
      <c r="D179" s="16"/>
      <c r="E179" s="16">
        <v>166.9</v>
      </c>
      <c r="F179" s="109">
        <f t="shared" si="5"/>
        <v>202.66666999999998</v>
      </c>
      <c r="G179" s="16">
        <v>104.6</v>
      </c>
      <c r="H179" s="110">
        <f t="shared" si="6"/>
        <v>120.02849999999999</v>
      </c>
      <c r="I179" s="87">
        <v>155.2722</v>
      </c>
      <c r="J179" s="28">
        <f>I179</f>
        <v>155.2722</v>
      </c>
      <c r="K179" s="28"/>
      <c r="L179" s="28"/>
      <c r="M179" s="28"/>
      <c r="N179" s="28"/>
      <c r="O179" s="73" t="s">
        <v>164</v>
      </c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</row>
    <row r="180" spans="1:28" ht="15.75" x14ac:dyDescent="0.25">
      <c r="A180" s="59" t="s">
        <v>358</v>
      </c>
      <c r="B180" s="59" t="s">
        <v>359</v>
      </c>
      <c r="C180" s="59" t="s">
        <v>360</v>
      </c>
      <c r="D180" s="59"/>
      <c r="E180" s="59">
        <v>69</v>
      </c>
      <c r="F180" s="109">
        <f t="shared" si="5"/>
        <v>83.786699999999996</v>
      </c>
      <c r="G180" s="59">
        <v>78.099999999999994</v>
      </c>
      <c r="H180" s="110">
        <f t="shared" si="6"/>
        <v>89.619749999999996</v>
      </c>
      <c r="I180" s="63">
        <f>28.8 + 64 +15</f>
        <v>107.8</v>
      </c>
      <c r="J180" s="61">
        <f>I180</f>
        <v>107.8</v>
      </c>
      <c r="K180" s="61"/>
      <c r="L180" s="61"/>
      <c r="M180" s="61"/>
      <c r="N180" s="61"/>
      <c r="O180" s="29" t="s">
        <v>42</v>
      </c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</row>
    <row r="181" spans="1:28" ht="15.75" x14ac:dyDescent="0.25">
      <c r="A181" s="24" t="s">
        <v>361</v>
      </c>
      <c r="B181" s="24" t="s">
        <v>362</v>
      </c>
      <c r="C181" s="24" t="s">
        <v>363</v>
      </c>
      <c r="D181" s="24"/>
      <c r="E181" s="24"/>
      <c r="F181" s="105"/>
      <c r="G181" s="24">
        <v>9.85</v>
      </c>
      <c r="H181" s="107">
        <f t="shared" si="6"/>
        <v>11.302874999999998</v>
      </c>
      <c r="I181" s="78">
        <f>I182+I183</f>
        <v>152.800149</v>
      </c>
      <c r="J181" s="36"/>
      <c r="K181" s="36"/>
      <c r="L181" s="36"/>
      <c r="M181" s="36"/>
      <c r="N181" s="36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</row>
    <row r="182" spans="1:28" ht="15.75" x14ac:dyDescent="0.25">
      <c r="A182" s="24"/>
      <c r="B182" s="24"/>
      <c r="C182" s="24" t="s">
        <v>364</v>
      </c>
      <c r="D182" s="24"/>
      <c r="E182" s="24"/>
      <c r="F182" s="97"/>
      <c r="G182" s="24"/>
      <c r="H182" s="94"/>
      <c r="I182" s="36">
        <v>26.300149000000001</v>
      </c>
      <c r="J182" s="35"/>
      <c r="K182" s="35"/>
      <c r="L182" s="35"/>
      <c r="M182" s="35">
        <f>I182</f>
        <v>26.300149000000001</v>
      </c>
      <c r="N182" s="35"/>
      <c r="O182" s="24" t="s">
        <v>329</v>
      </c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</row>
    <row r="183" spans="1:28" ht="15.75" x14ac:dyDescent="0.25">
      <c r="A183" s="29"/>
      <c r="B183" s="29"/>
      <c r="C183" s="29" t="s">
        <v>365</v>
      </c>
      <c r="D183" s="29"/>
      <c r="E183" s="29"/>
      <c r="F183" s="97"/>
      <c r="G183" s="29"/>
      <c r="H183" s="94"/>
      <c r="I183" s="38">
        <v>126.5</v>
      </c>
      <c r="J183" s="31"/>
      <c r="K183" s="31"/>
      <c r="L183" s="31">
        <f>I183</f>
        <v>126.5</v>
      </c>
      <c r="M183" s="31"/>
      <c r="N183" s="31"/>
      <c r="O183" s="29" t="s">
        <v>346</v>
      </c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</row>
    <row r="184" spans="1:28" ht="15.75" x14ac:dyDescent="0.25">
      <c r="A184" s="29" t="s">
        <v>366</v>
      </c>
      <c r="B184" s="29" t="s">
        <v>367</v>
      </c>
      <c r="C184" s="29" t="s">
        <v>368</v>
      </c>
      <c r="D184" s="29"/>
      <c r="E184" s="29"/>
      <c r="F184" s="97"/>
      <c r="G184" s="29"/>
      <c r="H184" s="94"/>
      <c r="I184" s="66">
        <f>(1818*71000*0.25)/1000000</f>
        <v>32.269500000000001</v>
      </c>
      <c r="J184" s="31"/>
      <c r="K184" s="31"/>
      <c r="L184" s="31"/>
      <c r="M184" s="31">
        <f>I184</f>
        <v>32.269500000000001</v>
      </c>
      <c r="N184" s="31"/>
      <c r="O184" s="16" t="s">
        <v>369</v>
      </c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</row>
    <row r="185" spans="1:28" ht="15.75" x14ac:dyDescent="0.25">
      <c r="A185" s="92"/>
      <c r="B185" s="92" t="s">
        <v>370</v>
      </c>
      <c r="C185" s="92" t="s">
        <v>371</v>
      </c>
      <c r="D185" s="92"/>
      <c r="E185" s="92">
        <f>E4+E102+E151</f>
        <v>12453.800000000003</v>
      </c>
      <c r="F185" s="113">
        <f t="shared" si="5"/>
        <v>15122.649340000004</v>
      </c>
      <c r="G185" s="93">
        <f>G4+G102+G151</f>
        <v>13023.55</v>
      </c>
      <c r="H185" s="114">
        <f t="shared" si="6"/>
        <v>14944.523624999998</v>
      </c>
      <c r="I185" s="93">
        <f>I4+I102+I151</f>
        <v>12466.44627975</v>
      </c>
      <c r="J185" s="65"/>
      <c r="K185" s="65"/>
      <c r="L185" s="65"/>
      <c r="M185" s="65"/>
      <c r="N185" s="65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x14ac:dyDescent="0.25">
      <c r="A186" s="2"/>
      <c r="B186" s="2"/>
      <c r="C186" s="2"/>
      <c r="D186" s="2"/>
      <c r="E186" s="2"/>
      <c r="F186" s="97"/>
      <c r="G186" s="2"/>
      <c r="H186" s="94"/>
      <c r="I186" s="3"/>
      <c r="J186" s="11"/>
      <c r="K186" s="11"/>
      <c r="L186" s="11"/>
      <c r="M186" s="11"/>
      <c r="N186" s="1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 Gils</dc:creator>
  <cp:lastModifiedBy>Cindy Deuning</cp:lastModifiedBy>
  <dcterms:created xsi:type="dcterms:W3CDTF">2020-01-27T14:10:20Z</dcterms:created>
  <dcterms:modified xsi:type="dcterms:W3CDTF">2022-01-13T10:22:43Z</dcterms:modified>
</cp:coreProperties>
</file>